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2ec4e84be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560699a47e2248d6"/>
    <x:sheet xmlns:r="http://schemas.openxmlformats.org/officeDocument/2006/relationships" name="ЗИП турбогенераторов" sheetId="2" r:id="Rc97d2b6526f64e53"/>
    <x:sheet xmlns:r="http://schemas.openxmlformats.org/officeDocument/2006/relationships" name="КВО и ЗИП" sheetId="3" r:id="Re6d526af5af74b18"/>
    <x:sheet xmlns:r="http://schemas.openxmlformats.org/officeDocument/2006/relationships" name="Турбинное оборудование" sheetId="4" r:id="Rb76f99eb391d4970"/>
    <x:sheet xmlns:r="http://schemas.openxmlformats.org/officeDocument/2006/relationships" name="ЖД оборудование и ВСП" sheetId="5" r:id="R72e16ad90e5043bd"/>
    <x:sheet xmlns:r="http://schemas.openxmlformats.org/officeDocument/2006/relationships" name="Промбезопасность" sheetId="6" r:id="Rd1eb022380e44117"/>
    <x:sheet xmlns:r="http://schemas.openxmlformats.org/officeDocument/2006/relationships" name="Строительные материалы" sheetId="7" r:id="R5b565340bcac490d"/>
    <x:sheet xmlns:r="http://schemas.openxmlformats.org/officeDocument/2006/relationships" name="Трубы и фитинги" sheetId="8" r:id="R23b5914cdf5b49df"/>
    <x:sheet xmlns:r="http://schemas.openxmlformats.org/officeDocument/2006/relationships" name="Металлопрокат и сварка" sheetId="9" r:id="R28e385c9ce7c4aae"/>
    <x:sheet xmlns:r="http://schemas.openxmlformats.org/officeDocument/2006/relationships" name="Кабельно-проводниковая" sheetId="10" r:id="Ree227f4466d94ed9"/>
    <x:sheet xmlns:r="http://schemas.openxmlformats.org/officeDocument/2006/relationships" name="Электрооборудование" sheetId="11" r:id="R99a1ea8382a943be"/>
    <x:sheet xmlns:r="http://schemas.openxmlformats.org/officeDocument/2006/relationships" name="МРО механика и ЗИП" sheetId="12" r:id="Rfde21b91228149ef"/>
    <x:sheet xmlns:r="http://schemas.openxmlformats.org/officeDocument/2006/relationships" name="Изоляция РТИ огнеупоры" sheetId="13" r:id="R755a779cecdc4c3c"/>
    <x:sheet xmlns:r="http://schemas.openxmlformats.org/officeDocument/2006/relationships" name="Химматериалы" sheetId="14" r:id="R166ac677c6c64ec2"/>
    <x:sheet xmlns:r="http://schemas.openxmlformats.org/officeDocument/2006/relationships" name="Авто и спецтехника" sheetId="15" r:id="Rff8bd871f0e4445e"/>
    <x:sheet xmlns:r="http://schemas.openxmlformats.org/officeDocument/2006/relationships" name="Прочие специализированные" sheetId="16" r:id="Rd763c90a652f4a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 &quot;₽&quot;"/>
    <x:numFmt numFmtId="201" formatCode="#,##0"/>
    <x:numFmt numFmtId="202" formatCode="#,##0.##"/>
    <x:numFmt numFmtId="203" formatCode="0.###"/>
  </x:numFmts>
  <x:fonts count="5">
    <x:font>
      <x:sz val="11"/>
      <x:name val="Carlito"/>
    </x:font>
    <x:font>
      <x:b/>
      <x:sz val="16"/>
      <x:color rgb="FF1F2937"/>
      <x:name val="Arial"/>
    </x:font>
    <x:font>
      <x:i/>
      <x:sz val="10"/>
      <x:color rgb="FF5B677A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4" fillId="0" borderId="0" xfId="0" applyNumberFormat="1" applyFont="1" applyFill="1" applyBorder="1"/>
    <x:xf numFmtId="201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0"/>
    </x:xf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/>
    <x:xf numFmtId="202" fontId="4" fillId="0" borderId="0" xfId="0" applyNumberFormat="1" applyFont="1" applyFill="1" applyBorder="1" applyAlignment="1">
      <x:alignment wrapText="1"/>
    </x:xf>
    <x:xf numFmtId="203" fontId="4" fillId="0" borderId="0" xfId="0" applyNumberFormat="1" applyFont="1" applyFill="1" applyBorder="1" applyAlignment="1">
      <x:alignment wrapText="1"/>
    </x:xf>
    <x:xf numFmtId="202" fontId="4" fillId="0" borderId="0" xfId="0" applyNumberFormat="1" applyFont="1" applyFill="1" applyBorder="1" applyAlignment="1">
      <x:alignment vertical="center" wrapText="1"/>
    </x:xf>
    <x:xf numFmtId="203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f3b2f48a34d6c" /><Relationship Type="http://schemas.openxmlformats.org/officeDocument/2006/relationships/theme" Target="/xl/theme/theme1.xml" Id="Rfd9c39a587e94aa2" /><Relationship Type="http://schemas.openxmlformats.org/officeDocument/2006/relationships/sharedStrings" Target="/xl/sharedStrings.xml" Id="Rd7c4b699228f4eae" /><Relationship Type="http://schemas.openxmlformats.org/officeDocument/2006/relationships/worksheet" Target="/xl/worksheets/sheet1.xml" Id="R560699a47e2248d6" /><Relationship Type="http://schemas.openxmlformats.org/officeDocument/2006/relationships/worksheet" Target="/xl/worksheets/sheet2.xml" Id="Rc97d2b6526f64e53" /><Relationship Type="http://schemas.openxmlformats.org/officeDocument/2006/relationships/worksheet" Target="/xl/worksheets/sheet3.xml" Id="Re6d526af5af74b18" /><Relationship Type="http://schemas.openxmlformats.org/officeDocument/2006/relationships/worksheet" Target="/xl/worksheets/sheet4.xml" Id="Rb76f99eb391d4970" /><Relationship Type="http://schemas.openxmlformats.org/officeDocument/2006/relationships/worksheet" Target="/xl/worksheets/sheet5.xml" Id="R72e16ad90e5043bd" /><Relationship Type="http://schemas.openxmlformats.org/officeDocument/2006/relationships/worksheet" Target="/xl/worksheets/sheet6.xml" Id="Rd1eb022380e44117" /><Relationship Type="http://schemas.openxmlformats.org/officeDocument/2006/relationships/worksheet" Target="/xl/worksheets/sheet7.xml" Id="R5b565340bcac490d" /><Relationship Type="http://schemas.openxmlformats.org/officeDocument/2006/relationships/worksheet" Target="/xl/worksheets/sheet8.xml" Id="R23b5914cdf5b49df" /><Relationship Type="http://schemas.openxmlformats.org/officeDocument/2006/relationships/worksheet" Target="/xl/worksheets/sheet9.xml" Id="R28e385c9ce7c4aae" /><Relationship Type="http://schemas.openxmlformats.org/officeDocument/2006/relationships/worksheet" Target="/xl/worksheets/sheet10.xml" Id="Ree227f4466d94ed9" /><Relationship Type="http://schemas.openxmlformats.org/officeDocument/2006/relationships/worksheet" Target="/xl/worksheets/sheet11.xml" Id="R99a1ea8382a943be" /><Relationship Type="http://schemas.openxmlformats.org/officeDocument/2006/relationships/worksheet" Target="/xl/worksheets/sheet12.xml" Id="Rfde21b91228149ef" /><Relationship Type="http://schemas.openxmlformats.org/officeDocument/2006/relationships/worksheet" Target="/xl/worksheets/sheet13.xml" Id="R755a779cecdc4c3c" /><Relationship Type="http://schemas.openxmlformats.org/officeDocument/2006/relationships/worksheet" Target="/xl/worksheets/sheet14.xml" Id="R166ac677c6c64ec2" /><Relationship Type="http://schemas.openxmlformats.org/officeDocument/2006/relationships/worksheet" Target="/xl/worksheets/sheet15.xml" Id="Rff8bd871f0e4445e" /><Relationship Type="http://schemas.openxmlformats.org/officeDocument/2006/relationships/worksheet" Target="/xl/worksheets/sheet16.xml" Id="Rd763c90a652f4a1e" /></Relationships>
</file>

<file path=xl/tables/table1.xml><?xml version="1.0" encoding="utf-8"?>
<x:table xmlns:x="http://schemas.openxmlformats.org/spreadsheetml/2006/main" id="1" name="CategorySummary" displayName="CategorySummary" ref="A4:F19" headerRowCount="1" totalsRowCount="0" totalsRowShown="0">
  <x:tableColumns count="6">
    <x:tableColumn id="1" name="Товарная категория"/>
    <x:tableColumn id="2" name="Лист"/>
    <x:tableColumn id="3" name="Позиций"/>
    <x:tableColumn id="4" name="ПЕ"/>
    <x:tableColumn id="5" name="Сумма с НДС, ₽"/>
    <x:tableColumn id="6" name="Стату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egory01" displayName="Category01" ref="A4:I16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tegory02" displayName="Category02" ref="A4:I20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tegory03" displayName="Category03" ref="A4:I23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ategory04" displayName="Category04" ref="A4:I12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ategory05" displayName="Category05" ref="A4:I2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Category06" displayName="Category06" ref="A4:I181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Category07" displayName="Category07" ref="A4:I848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Category08" displayName="Category08" ref="A4:I449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Category09" displayName="Category09" ref="A4:I11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Category10" displayName="Category10" ref="A4:I352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Category11" displayName="Category11" ref="A4:I521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Category12" displayName="Category12" ref="A4:I429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Category13" displayName="Category13" ref="A4:I68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Category14" displayName="Category14" ref="A4:I57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Category15" displayName="Category15" ref="A4:I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ecf520995b7471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a647613d65b439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4390f3ba03b4af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f790f127be7d483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a832428ada0e4c4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6199cac4f986401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b3fd90f8865a416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6cb8769e5f9441d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8d0e1ce08e344c22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c3aa799ccbaa400a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e8ebf4ffc47d4da5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e4b6697a20344497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d9b31f45a7c9475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55337e8391b640f9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1a3410ddcefd4d19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4cb5abf6f2654038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28" hidden="0" customWidth="1"/>
    <x:col min="3" max="3" width="10" hidden="0" customWidth="1"/>
    <x:col min="4" max="4" width="44" hidden="0" customWidth="1"/>
    <x:col min="5" max="5" width="18" hidden="0" customWidth="1"/>
    <x:col min="6" max="6" width="29" hidden="0" customWidth="1"/>
  </x:cols>
  <x:sheetData>
    <x:row r="1" ht="28" customHeight="1">
      <x:c r="A1" s="2" t="str">
        <x:v>Неликвиды — Кузбасс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Товарная категория</x:v>
      </x:c>
      <x:c r="B4" s="10" t="str">
        <x:v>Лист</x:v>
      </x:c>
      <x:c r="C4" s="10" t="str">
        <x:v>Позиций</x:v>
      </x:c>
      <x:c r="D4" s="10" t="str">
        <x:v>ПЕ</x:v>
      </x:c>
      <x:c r="E4" s="10" t="str">
        <x:v>Сумма с НДС, ₽</x:v>
      </x:c>
      <x:c r="F4" s="10" t="str">
        <x:v>Статус</x:v>
      </x:c>
    </x:row>
    <x:row r="5" ht="58" customHeight="1">
      <x:c r="A5" s="16" t="str">
        <x:v>ЗИП турбогенераторов</x:v>
      </x:c>
      <x:c r="B5" s="16" t="str">
        <x:v>ЗИП турбогенераторов</x:v>
      </x:c>
      <x:c r="C5" s="16" t="n">
        <x:v>12</x:v>
      </x:c>
      <x:c r="D5" s="16" t="str">
        <x:v>Беловская ГРЭС, Кемеровская ГРЭС, Ново-Кемеровская ТЭЦ, Томь-Усинская ГРЭС</x:v>
      </x:c>
      <x:c r="E5" s="17" t="n">
        <x:v>35428685.307799995</x:v>
      </x:c>
      <x:c r="F5" s="16" t="str">
        <x:v>Существующая/расширенная группа</x:v>
      </x:c>
    </x:row>
    <x:row r="6" ht="58" customHeight="1">
      <x:c r="A6" s="16" t="str">
        <x:v>Котельно-вспомогательное оборудование и ЗИП</x:v>
      </x:c>
      <x:c r="B6" s="16" t="str">
        <x:v>КВО и ЗИП</x:v>
      </x:c>
      <x:c r="C6" s="16" t="n">
        <x:v>16</x:v>
      </x:c>
      <x:c r="D6" s="16" t="str">
        <x:v>Беловская ГРЭС, Ново-Кемеровская ТЭЦ, Теплоэнергетик, Томь-Усинская ГРЭС</x:v>
      </x:c>
      <x:c r="E6" s="17" t="n">
        <x:v>988324.44</x:v>
      </x:c>
      <x:c r="F6" s="16" t="str">
        <x:v>Существующая/расширенная группа</x:v>
      </x:c>
    </x:row>
    <x:row r="7" ht="58" customHeight="1">
      <x:c r="A7" s="16" t="str">
        <x:v>Турбинное оборудование и ЗИП</x:v>
      </x:c>
      <x:c r="B7" s="16" t="str">
        <x:v>Турбинное оборудование</x:v>
      </x:c>
      <x:c r="C7" s="16" t="n">
        <x:v>19</x:v>
      </x:c>
      <x:c r="D7" s="16" t="str">
        <x:v>Беловская ГРЭС, Кемеровская ГРЭС, Ново-Кемеровская ТЭЦ, Томь-Усинская ГРЭС</x:v>
      </x:c>
      <x:c r="E7" s="17" t="n">
        <x:v>6399519.259799999</x:v>
      </x:c>
      <x:c r="F7" s="16" t="str">
        <x:v>Новая группа</x:v>
      </x:c>
    </x:row>
    <x:row r="8" ht="58" customHeight="1">
      <x:c r="A8" s="16" t="str">
        <x:v>Железнодорожное оборудование и материалы ВСП</x:v>
      </x:c>
      <x:c r="B8" s="16" t="str">
        <x:v>ЖД оборудование и ВСП</x:v>
      </x:c>
      <x:c r="C8" s="16" t="n">
        <x:v>8</x:v>
      </x:c>
      <x:c r="D8" s="16" t="str">
        <x:v>Беловская ГРЭС, Кемеровская ГРЭС, Ново-Кемеровская ТЭЦ</x:v>
      </x:c>
      <x:c r="E8" s="17" t="n">
        <x:v>1847044.65233</x:v>
      </x:c>
      <x:c r="F8" s="16" t="str">
        <x:v>Новая группа</x:v>
      </x:c>
    </x:row>
    <x:row r="9" ht="58" customHeight="1">
      <x:c r="A9" s="16" t="str">
        <x:v>Промышленная безопасность, пожарное оборудование и медицина</x:v>
      </x:c>
      <x:c r="B9" s="16" t="str">
        <x:v>Промбезопасность</x:v>
      </x:c>
      <x:c r="C9" s="16" t="n">
        <x:v>21</x:v>
      </x:c>
      <x:c r="D9" s="16" t="str">
        <x:v>Беловская ГРЭС, Кемеровская ГРЭС, Ново-Кемеровская ТЭЦ, Томь-Усинская ГРЭС</x:v>
      </x:c>
      <x:c r="E9" s="17" t="n">
        <x:v>1357984.013</x:v>
      </x:c>
      <x:c r="F9" s="16" t="str">
        <x:v>Новая группа</x:v>
      </x:c>
    </x:row>
    <x:row r="10" ht="58" customHeight="1">
      <x:c r="A10" s="16" t="str">
        <x:v>Строительные материалы и ЖБИ</x:v>
      </x:c>
      <x:c r="B10" s="16" t="str">
        <x:v>Строительные материалы</x:v>
      </x:c>
      <x:c r="C10" s="16" t="n">
        <x:v>177</x:v>
      </x:c>
      <x:c r="D10" s="16" t="str">
        <x:v>Беловская ГРЭС, Кемеровская ГРЭС, Кемеровская ТЭЦ, Кемеровская теплосетевая компания, Ново-Кемеровская ТЭЦ, Теплоэнергетик, Томь-Усинская ГРЭС</x:v>
      </x:c>
      <x:c r="E10" s="17" t="n">
        <x:v>10236845.252543602</x:v>
      </x:c>
      <x:c r="F10" s="16" t="str">
        <x:v>Существующая/расширенная группа</x:v>
      </x:c>
    </x:row>
    <x:row r="11" ht="58" customHeight="1">
      <x:c r="A11" s="16" t="str">
        <x:v>Трубы, фитинги, трубопроводная арматура и ОПС</x:v>
      </x:c>
      <x:c r="B11" s="16" t="str">
        <x:v>Трубы и фитинги</x:v>
      </x:c>
      <x:c r="C11" s="16" t="n">
        <x:v>844</x:v>
      </x:c>
      <x:c r="D11" s="16" t="str">
        <x:v>Беловская ГРЭС, Кемеровская ГРЭС, Кемеровская ТЭЦ, Кемеровская теплосетевая компания, Ново-Кемеровская ТЭЦ, Теплоэнергетик, Томь-Усинская ГРЭС</x:v>
      </x:c>
      <x:c r="E11" s="17" t="n">
        <x:v>75024849.43051049</x:v>
      </x:c>
      <x:c r="F11" s="16" t="str">
        <x:v>Существующая/расширенная группа</x:v>
      </x:c>
    </x:row>
    <x:row r="12" ht="58" customHeight="1">
      <x:c r="A12" s="16" t="str">
        <x:v>Металлопрокат, металлоконструкции и сварка</x:v>
      </x:c>
      <x:c r="B12" s="16" t="str">
        <x:v>Металлопрокат и сварка</x:v>
      </x:c>
      <x:c r="C12" s="16" t="n">
        <x:v>445</x:v>
      </x:c>
      <x:c r="D12" s="16" t="str">
        <x:v>Беловская ГРЭС, Кемеровская ГРЭС, Кемеровская ТЭЦ, Кемеровская теплосетевая компания, Ново-Кемеровская ТЭЦ, Томь-Усинская ГРЭС</x:v>
      </x:c>
      <x:c r="E12" s="17" t="n">
        <x:v>12052877.053229602</x:v>
      </x:c>
      <x:c r="F12" s="16" t="str">
        <x:v>Существующая/расширенная группа</x:v>
      </x:c>
    </x:row>
    <x:row r="13" ht="58" customHeight="1">
      <x:c r="A13" s="16" t="str">
        <x:v>Кабельно-проводниковая продукция</x:v>
      </x:c>
      <x:c r="B13" s="16" t="str">
        <x:v>Кабельно-проводниковая</x:v>
      </x:c>
      <x:c r="C13" s="16" t="n">
        <x:v>111</x:v>
      </x:c>
      <x:c r="D13" s="16" t="str">
        <x:v>Беловская ГРЭС, Кемеровская ГРЭС, Кемеровская ТЭЦ, Кемеровская теплосетевая компания, Ново-Кемеровская ТЭЦ, Томь-Усинская ГРЭС</x:v>
      </x:c>
      <x:c r="E13" s="17" t="n">
        <x:v>3497459.9852096015</x:v>
      </x:c>
      <x:c r="F13" s="16" t="str">
        <x:v>Существующая/расширенная группа</x:v>
      </x:c>
    </x:row>
    <x:row r="14" ht="58" customHeight="1">
      <x:c r="A14" s="16" t="str">
        <x:v>Электрооборудование, КИПиА и связь</x:v>
      </x:c>
      <x:c r="B14" s="16" t="str">
        <x:v>Электрооборудование</x:v>
      </x:c>
      <x:c r="C14" s="16" t="n">
        <x:v>348</x:v>
      </x:c>
      <x:c r="D14" s="16" t="str">
        <x:v>Беловская ГРЭС, Кемеровская ГРЭС, Кемеровская ТЭЦ, Кемеровская теплосетевая компания, Ново-Кемеровская ТЭЦ, Томь-Усинская ГРЭС</x:v>
      </x:c>
      <x:c r="E14" s="17" t="n">
        <x:v>9925258.6373534</x:v>
      </x:c>
      <x:c r="F14" s="16" t="str">
        <x:v>Существующая/расширенная группа</x:v>
      </x:c>
    </x:row>
    <x:row r="15" ht="58" customHeight="1">
      <x:c r="A15" s="16" t="str">
        <x:v>МРО, механическое оборудование и ЗИП</x:v>
      </x:c>
      <x:c r="B15" s="16" t="str">
        <x:v>МРО механика и ЗИП</x:v>
      </x:c>
      <x:c r="C15" s="16" t="n">
        <x:v>517</x:v>
      </x:c>
      <x:c r="D15" s="16" t="str">
        <x:v>Беловская ГРЭС, Кемеровская ГРЭС, Кемеровская ТЭЦ, Кемеровская теплосетевая компания, Ново-Кемеровская ТЭЦ, Теплоэнергетик, Томь-Усинская ГРЭС</x:v>
      </x:c>
      <x:c r="E15" s="17" t="n">
        <x:v>11813825.579873199</x:v>
      </x:c>
      <x:c r="F15" s="16" t="str">
        <x:v>Существующая/расширенная группа</x:v>
      </x:c>
    </x:row>
    <x:row r="16" ht="58" customHeight="1">
      <x:c r="A16" s="16" t="str">
        <x:v>Изоляция, РТИ, огнеупорные и кислотоупорные материалы</x:v>
      </x:c>
      <x:c r="B16" s="16" t="str">
        <x:v>Изоляция РТИ огнеупоры</x:v>
      </x:c>
      <x:c r="C16" s="16" t="n">
        <x:v>425</x:v>
      </x:c>
      <x:c r="D16" s="16" t="str">
        <x:v>Беловская ГРЭС, Кемеровская ГРЭС, Кемеровская ТЭЦ, Кемеровская теплосетевая компания, Ново-Кемеровская ТЭЦ, Теплоэнергетик, Томь-Усинская ГРЭС</x:v>
      </x:c>
      <x:c r="E16" s="17" t="n">
        <x:v>14281906.590212999</x:v>
      </x:c>
      <x:c r="F16" s="16" t="str">
        <x:v>Существующая/расширенная группа</x:v>
      </x:c>
    </x:row>
    <x:row r="17" ht="58" customHeight="1">
      <x:c r="A17" s="16" t="str">
        <x:v>Химические материалы, ЛКМ и лаборатория</x:v>
      </x:c>
      <x:c r="B17" s="16" t="str">
        <x:v>Химматериалы</x:v>
      </x:c>
      <x:c r="C17" s="16" t="n">
        <x:v>64</x:v>
      </x:c>
      <x:c r="D17" s="16" t="str">
        <x:v>Беловская ГРЭС, Кемеровская ГРЭС, Кемеровская ТЭЦ, Кемеровская теплосетевая компания, Ново-Кемеровская ТЭЦ, Томь-Усинская ГРЭС</x:v>
      </x:c>
      <x:c r="E17" s="17" t="n">
        <x:v>915076.3527118</x:v>
      </x:c>
      <x:c r="F17" s="16" t="str">
        <x:v>Существующая/расширенная группа</x:v>
      </x:c>
    </x:row>
    <x:row r="18" ht="58" customHeight="1">
      <x:c r="A18" s="16" t="str">
        <x:v>Авто- и спецтехника: запасные части</x:v>
      </x:c>
      <x:c r="B18" s="16" t="str">
        <x:v>Авто и спецтехника</x:v>
      </x:c>
      <x:c r="C18" s="16" t="n">
        <x:v>53</x:v>
      </x:c>
      <x:c r="D18" s="16" t="str">
        <x:v>Беловская ГРЭС, Кемеровская ГРЭС, Кемеровская ТЭЦ, Кемеровская теплосетевая компания, Ново-Кемеровская ТЭЦ, Томь-Усинская ГРЭС</x:v>
      </x:c>
      <x:c r="E18" s="17" t="n">
        <x:v>224788.68745</x:v>
      </x:c>
      <x:c r="F18" s="16" t="str">
        <x:v>Существующая/расширенная группа</x:v>
      </x:c>
    </x:row>
    <x:row r="19" ht="58" customHeight="1">
      <x:c r="A19" s="16" t="str">
        <x:v>Прочие специализированные материалы</x:v>
      </x:c>
      <x:c r="B19" s="16" t="str">
        <x:v>Прочие специализированные</x:v>
      </x:c>
      <x:c r="C19" s="16" t="n">
        <x:v>1</x:v>
      </x:c>
      <x:c r="D19" s="16" t="str">
        <x:v>Томь-Усинская ГРЭС</x:v>
      </x:c>
      <x:c r="E19" s="17" t="n">
        <x:v>0.0488</x:v>
      </x:c>
      <x:c r="F19" s="16" t="str">
        <x:v>Существующая/расширенная группа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1ecf520995b7471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ЗИП турбогенераторов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2000638963-U112</x:v>
      </x:c>
      <x:c r="C5" s="16" t="str">
        <x:v>РАСПОРКА 8БС.787.516-1 ТВВ-200-2АУЗ</x:v>
      </x:c>
      <x:c r="D5" s="16" t="str">
        <x:v>Запасные части к турбогенераторам</x:v>
      </x:c>
      <x:c r="E5" s="16" t="str">
        <x:v>ШТ</x:v>
      </x:c>
      <x:c r="F5" s="21" t="n">
        <x:v>24</x:v>
      </x:c>
      <x:c r="G5" s="17" t="n">
        <x:v>3219.8849999999998</x:v>
      </x:c>
      <x:c r="H5" s="17" t="n">
        <x:f>G5*F5</x:f>
        <x:v>77277.23999999999</x:v>
      </x:c>
      <x:c r="I5" s="22" t="str">
        <x:f>HYPERLINK("https://etp-aktiv.ru/catalog/materialy/zapasnye-chasti-osnovnogo-ehnergeticheskogo-oborudovaniya/2000638963-U112/","Открыть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2000989553-U112</x:v>
      </x:c>
      <x:c r="C6" s="16" t="str">
        <x:v>СЕГМЕНТ 8БС.787.765 ТВВ-220-2АУЗ</x:v>
      </x:c>
      <x:c r="D6" s="16" t="str">
        <x:v>Запасные части к турбогенераторам</x:v>
      </x:c>
      <x:c r="E6" s="16" t="str">
        <x:v>ШТ</x:v>
      </x:c>
      <x:c r="F6" s="21" t="n">
        <x:v>40</x:v>
      </x:c>
      <x:c r="G6" s="17" t="n">
        <x:v>8601</x:v>
      </x:c>
      <x:c r="H6" s="17" t="n">
        <x:f>G6*F6</x:f>
        <x:v>344040</x:v>
      </x:c>
      <x:c r="I6" s="22" t="str">
        <x:f>HYPERLINK("https://etp-aktiv.ru/catalog/materialy/zapasnye-chasti-osnovnogo-ehnergeticheskogo-oborudovaniya/2000989553-U112/","Открыть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2000863691-U112</x:v>
      </x:c>
      <x:c r="C7" s="16" t="str">
        <x:v>ЭКРАН 8БС.365.146</x:v>
      </x:c>
      <x:c r="D7" s="16" t="str">
        <x:v>Запасные части к турбогенераторам</x:v>
      </x:c>
      <x:c r="E7" s="16" t="str">
        <x:v>ШТ</x:v>
      </x:c>
      <x:c r="F7" s="21" t="n">
        <x:v>12</x:v>
      </x:c>
      <x:c r="G7" s="17" t="n">
        <x:v>5923.0268</x:v>
      </x:c>
      <x:c r="H7" s="17" t="n">
        <x:f>G7*F7</x:f>
        <x:v>71076.3216</x:v>
      </x:c>
      <x:c r="I7" s="22" t="str">
        <x:f>HYPERLINK("https://etp-aktiv.ru/catalog/materialy/zapasnye-chasti-osnovnogo-ehnergeticheskogo-oborudovaniya/2000863691-U112/","Открыть позицию")</x:f>
        <x:v>Открыть позицию</x:v>
      </x:c>
    </x:row>
    <x:row r="8" ht="28" customHeight="1">
      <x:c r="A8" s="16" t="str">
        <x:v>Беловская ГРЭС</x:v>
      </x:c>
      <x:c r="B8" s="16" t="str">
        <x:v>2000863694-U112</x:v>
      </x:c>
      <x:c r="C8" s="16" t="str">
        <x:v>ЭКРАН 8БС.365.148</x:v>
      </x:c>
      <x:c r="D8" s="16" t="str">
        <x:v>Запасные части к турбогенераторам</x:v>
      </x:c>
      <x:c r="E8" s="16" t="str">
        <x:v>ШТ</x:v>
      </x:c>
      <x:c r="F8" s="21" t="n">
        <x:v>12</x:v>
      </x:c>
      <x:c r="G8" s="17" t="n">
        <x:v>5923.0268</x:v>
      </x:c>
      <x:c r="H8" s="17" t="n">
        <x:f>G8*F8</x:f>
        <x:v>71076.3216</x:v>
      </x:c>
      <x:c r="I8" s="22" t="str">
        <x:f>HYPERLINK("https://etp-aktiv.ru/catalog/materialy/zapasnye-chasti-osnovnogo-ehnergeticheskogo-oborudovaniya/2000863694-U112/","Открыть позицию")</x:f>
        <x:v>Открыть позицию</x:v>
      </x:c>
    </x:row>
    <x:row r="9" ht="28" customHeight="1">
      <x:c r="A9" s="16" t="str">
        <x:v>Кемеровская ГРЭС</x:v>
      </x:c>
      <x:c r="B9" s="16" t="str">
        <x:v>M2000561306-U311</x:v>
      </x:c>
      <x:c r="C9" s="16" t="str">
        <x:v>РОТОР 5БС.675.839</x:v>
      </x:c>
      <x:c r="D9" s="16" t="str">
        <x:v>Запасные части к генераторам</x:v>
      </x:c>
      <x:c r="E9" s="16" t="str">
        <x:v>ШТ</x:v>
      </x:c>
      <x:c r="F9" s="21" t="n">
        <x:v>1</x:v>
      </x:c>
      <x:c r="G9" s="17" t="n">
        <x:v>686761.1799999999</x:v>
      </x:c>
      <x:c r="H9" s="17" t="n">
        <x:f>G9*F9</x:f>
        <x:v>686761.1799999999</x:v>
      </x:c>
      <x:c r="I9" s="22" t="str">
        <x:f>HYPERLINK("https://etp-aktiv.ru/catalog/materialy/ehlektrotekhnicheskie-materialy/M2000561306-U311/","Открыть позицию")</x:f>
        <x:v>Открыть позицию</x:v>
      </x:c>
    </x:row>
    <x:row r="10" ht="28" customHeight="1">
      <x:c r="A10" s="16" t="str">
        <x:v>Ново-Кемеровская ТЭЦ</x:v>
      </x:c>
      <x:c r="B10" s="16" t="str">
        <x:v>2000701244-U411</x:v>
      </x:c>
      <x:c r="C10" s="16" t="str">
        <x:v>КОЛЬЦО БАНДАЖ 8БС.296.595 Т/Г ТВФ-63-2</x:v>
      </x:c>
      <x:c r="D10" s="16" t="str">
        <x:v>Запасные части к турбогенераторам</x:v>
      </x:c>
      <x:c r="E10" s="16" t="str">
        <x:v>ШТ</x:v>
      </x:c>
      <x:c r="F10" s="21" t="n">
        <x:v>2</x:v>
      </x:c>
      <x:c r="G10" s="17" t="n">
        <x:v>14640000</x:v>
      </x:c>
      <x:c r="H10" s="17" t="n">
        <x:f>G10*F10</x:f>
        <x:v>29280000</x:v>
      </x:c>
      <x:c r="I10" s="22" t="str">
        <x:f>HYPERLINK("https://etp-aktiv.ru/catalog/materialy/zapasnye-chasti-osnovnogo-ehnergeticheskogo-oborudovaniya/2000701244-U411/","Открыть позицию")</x:f>
        <x:v>Открыть позицию</x:v>
      </x:c>
    </x:row>
    <x:row r="11" ht="28" customHeight="1">
      <x:c r="A11" s="16" t="str">
        <x:v>Ново-Кемеровская ТЭЦ</x:v>
      </x:c>
      <x:c r="B11" s="16" t="str">
        <x:v>2000527533-U411</x:v>
      </x:c>
      <x:c r="C11" s="16" t="str">
        <x:v>П/КОЛЬЦО ИЗОЛ 8БС.715.452-01 ТВФ110-2ЕУ3</x:v>
      </x:c>
      <x:c r="D11" s="16" t="str">
        <x:v>Запасные части к турбогенераторам</x:v>
      </x:c>
      <x:c r="E11" s="16" t="str">
        <x:v>ШТ</x:v>
      </x:c>
      <x:c r="F11" s="21" t="n">
        <x:v>1</x:v>
      </x:c>
      <x:c r="G11" s="17" t="n">
        <x:v>409.432</x:v>
      </x:c>
      <x:c r="H11" s="17" t="n">
        <x:f>G11*F11</x:f>
        <x:v>409.432</x:v>
      </x:c>
      <x:c r="I11" s="22" t="str">
        <x:f>HYPERLINK("https://etp-aktiv.ru/catalog/materialy/zapasnye-chasti-osnovnogo-ehnergeticheskogo-oborudovaniya/2000527533-U411/","Открыть позицию")</x:f>
        <x:v>Открыть позицию</x:v>
      </x:c>
    </x:row>
    <x:row r="12" ht="28" customHeight="1">
      <x:c r="A12" s="16" t="str">
        <x:v>Ново-Кемеровская ТЭЦ</x:v>
      </x:c>
      <x:c r="B12" s="16" t="str">
        <x:v>2000527534-U411</x:v>
      </x:c>
      <x:c r="C12" s="16" t="str">
        <x:v>ПОЛУКОЛЬЦО ИЗОЛ 8БС.715.451 ТВФ-110-2ЕУ3</x:v>
      </x:c>
      <x:c r="D12" s="16" t="str">
        <x:v>Запасные части к турбогенераторам</x:v>
      </x:c>
      <x:c r="E12" s="16" t="str">
        <x:v>ШТ</x:v>
      </x:c>
      <x:c r="F12" s="21" t="n">
        <x:v>1</x:v>
      </x:c>
      <x:c r="G12" s="17" t="n">
        <x:v>409.432</x:v>
      </x:c>
      <x:c r="H12" s="17" t="n">
        <x:f>G12*F12</x:f>
        <x:v>409.432</x:v>
      </x:c>
      <x:c r="I12" s="22" t="str">
        <x:f>HYPERLINK("https://etp-aktiv.ru/catalog/materialy/zapasnye-chasti-osnovnogo-ehnergeticheskogo-oborudovaniya/2000527534-U411/","Открыть позицию")</x:f>
        <x:v>Открыть позицию</x:v>
      </x:c>
    </x:row>
    <x:row r="13" ht="28" customHeight="1">
      <x:c r="A13" s="16" t="str">
        <x:v>Ново-Кемеровская ТЭЦ</x:v>
      </x:c>
      <x:c r="B13" s="16" t="str">
        <x:v>2000771224-U411</x:v>
      </x:c>
      <x:c r="C13" s="16" t="str">
        <x:v>РАСПОРКА 8БС.787.714-01 ТВВ-200-2АУЗ</x:v>
      </x:c>
      <x:c r="D13" s="16" t="str">
        <x:v>Запасные части к турбогенераторам</x:v>
      </x:c>
      <x:c r="E13" s="16" t="str">
        <x:v>ШТ</x:v>
      </x:c>
      <x:c r="F13" s="21" t="n">
        <x:v>800</x:v>
      </x:c>
      <x:c r="G13" s="17" t="n">
        <x:v>991.6892</x:v>
      </x:c>
      <x:c r="H13" s="17" t="n">
        <x:f>G13*F13</x:f>
        <x:v>793351.36</x:v>
      </x:c>
      <x:c r="I13" s="22" t="str">
        <x:f>HYPERLINK("https://etp-aktiv.ru/catalog/materialy/zapasnye-chasti-osnovnogo-ehnergeticheskogo-oborudovaniya/2000771224-U411/","Открыть позицию")</x:f>
        <x:v>Открыть позицию</x:v>
      </x:c>
    </x:row>
    <x:row r="14" ht="28" customHeight="1">
      <x:c r="A14" s="16" t="str">
        <x:v>Томь-Усинская ГРЭС</x:v>
      </x:c>
      <x:c r="B14" s="16" t="str">
        <x:v>2000525594-U111</x:v>
      </x:c>
      <x:c r="C14" s="16" t="str">
        <x:v>ВКЛАДЫШ УПЛОТНЕНИЯ 5БС.263.297 ТВВ</x:v>
      </x:c>
      <x:c r="D14" s="16" t="str">
        <x:v>Запасные части к турбогенераторам</x:v>
      </x:c>
      <x:c r="E14" s="16" t="str">
        <x:v>ШТ</x:v>
      </x:c>
      <x:c r="F14" s="21" t="n">
        <x:v>2</x:v>
      </x:c>
      <x:c r="G14" s="17" t="n">
        <x:v>545047.2</x:v>
      </x:c>
      <x:c r="H14" s="17" t="n">
        <x:f>G14*F14</x:f>
        <x:v>1090094.4</x:v>
      </x:c>
      <x:c r="I14" s="22" t="str">
        <x:f>HYPERLINK("https://etp-aktiv.ru/catalog/materialy/zapasnye-chasti-osnovnogo-ehnergeticheskogo-oborudovaniya/2000525594-U111/","Открыть позицию")</x:f>
        <x:v>Открыть позицию</x:v>
      </x:c>
    </x:row>
    <x:row r="15" ht="28" customHeight="1">
      <x:c r="A15" s="16" t="str">
        <x:v>Томь-Усинская ГРЭС</x:v>
      </x:c>
      <x:c r="B15" s="16" t="str">
        <x:v>2000525647-U111</x:v>
      </x:c>
      <x:c r="C15" s="16" t="str">
        <x:v>КОЛЬЦО БАНДАЖНОЕ 8БС.214.945 ТВВ-200-2</x:v>
      </x:c>
      <x:c r="D15" s="16" t="str">
        <x:v>Запасные части к турбогенераторам</x:v>
      </x:c>
      <x:c r="E15" s="16" t="str">
        <x:v>ШТ</x:v>
      </x:c>
      <x:c r="F15" s="21" t="n">
        <x:v>1</x:v>
      </x:c>
      <x:c r="G15" s="17" t="n">
        <x:v>3013732.1206</x:v>
      </x:c>
      <x:c r="H15" s="17" t="n">
        <x:f>G15*F15</x:f>
        <x:v>3013732.1206</x:v>
      </x:c>
      <x:c r="I15" s="22" t="str">
        <x:f>HYPERLINK("https://etp-aktiv.ru/catalog/materialy/zapasnye-chasti-osnovnogo-ehnergeticheskogo-oborudovaniya/2000525647-U111/","Открыть позицию")</x:f>
        <x:v>Открыть позицию</x:v>
      </x:c>
    </x:row>
    <x:row r="16" ht="28" customHeight="1">
      <x:c r="A16" s="16" t="str">
        <x:v>Томь-Усинская ГРЭС</x:v>
      </x:c>
      <x:c r="B16" s="16" t="str">
        <x:v>2000525730-U111</x:v>
      </x:c>
      <x:c r="C16" s="16" t="str">
        <x:v>СТЕРЖЕНЬ ВЕРХ 5БС.540.871-02 ТВВ-200</x:v>
      </x:c>
      <x:c r="D16" s="16" t="str">
        <x:v>Запасные части к турбогенераторам</x:v>
      </x:c>
      <x:c r="E16" s="16" t="str">
        <x:v>ШТ</x:v>
      </x:c>
      <x:c r="F16" s="21" t="n">
        <x:v>1</x:v>
      </x:c>
      <x:c r="G16" s="17" t="n">
        <x:v>457.5</x:v>
      </x:c>
      <x:c r="H16" s="17" t="n">
        <x:f>G16*F16</x:f>
        <x:v>457.5</x:v>
      </x:c>
      <x:c r="I16" s="22" t="str">
        <x:f>HYPERLINK("https://etp-aktiv.ru/catalog/materialy/zapasnye-chasti-osnovnogo-ehnergeticheskogo-oborudovaniya/2000525730-U111/","Открыть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1a647613d65b439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Котельно-вспомогательное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2000531966-U112</x:v>
      </x:c>
      <x:c r="C5" s="16" t="str">
        <x:v>ВАЛ ЧЕРВЯЧНЫЙ К-920</x:v>
      </x:c>
      <x:c r="D5" s="16" t="str">
        <x:v>Запасные части к котельно-вспомогательному оборудованию</x:v>
      </x:c>
      <x:c r="E5" s="16" t="str">
        <x:v>ШТ</x:v>
      </x:c>
      <x:c r="F5" s="21" t="n">
        <x:v>8</x:v>
      </x:c>
      <x:c r="G5" s="17" t="n">
        <x:v>12211.138599999998</x:v>
      </x:c>
      <x:c r="H5" s="17" t="n">
        <x:f>G5*F5</x:f>
        <x:v>97689.10879999999</x:v>
      </x:c>
      <x:c r="I5" s="22" t="str">
        <x:f>HYPERLINK("https://etp-aktiv.ru/catalog/materialy/zapasnye-chasti-osnovnogo-ehnergeticheskogo-oborudovaniya/2000531966-U112/","Открыть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2000239233-U112</x:v>
      </x:c>
      <x:c r="C6" s="16" t="str">
        <x:v>ВЕНЕЦ ЗУБЧАТЫЙ ППЛ-10 К-919-01</x:v>
      </x:c>
      <x:c r="D6" s="16" t="str">
        <x:v>Запасные части к котельно-вспомогательному оборудованию</x:v>
      </x:c>
      <x:c r="E6" s="16" t="str">
        <x:v>ШТ</x:v>
      </x:c>
      <x:c r="F6" s="21" t="n">
        <x:v>3</x:v>
      </x:c>
      <x:c r="G6" s="17" t="n">
        <x:v>18459.21</x:v>
      </x:c>
      <x:c r="H6" s="17" t="n">
        <x:f>G6*F6</x:f>
        <x:v>55377.63</x:v>
      </x:c>
      <x:c r="I6" s="22" t="str">
        <x:f>HYPERLINK("https://etp-aktiv.ru/catalog/materialy/zapasnye-chasti-osnovnogo-ehnergeticheskogo-oborudovaniya/2000239233-U112/","Открыть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2000624143-U112</x:v>
      </x:c>
      <x:c r="C7" s="16" t="str">
        <x:v>КЛАПАН ПРЯМОУГ ЛЕВ 800*1200 ПГВУ 296-80</x:v>
      </x:c>
      <x:c r="D7" s="16" t="str">
        <x:v>Запасные части к котельно-вспомогательному оборудованию</x:v>
      </x:c>
      <x:c r="E7" s="16" t="str">
        <x:v>ШТ</x:v>
      </x:c>
      <x:c r="F7" s="21" t="n">
        <x:v>10</x:v>
      </x:c>
      <x:c r="G7" s="17" t="n">
        <x:v>37515</x:v>
      </x:c>
      <x:c r="H7" s="17" t="n">
        <x:f>G7*F7</x:f>
        <x:v>375150</x:v>
      </x:c>
      <x:c r="I7" s="22" t="str">
        <x:f>HYPERLINK("https://etp-aktiv.ru/catalog/materialy/zapasnye-chasti-osnovnogo-ehnergeticheskogo-oborudovaniya/2000624143-U112/","Открыть позицию")</x:f>
        <x:v>Открыть позицию</x:v>
      </x:c>
    </x:row>
    <x:row r="8" ht="28" customHeight="1">
      <x:c r="A8" s="16" t="str">
        <x:v>Беловская ГРЭС</x:v>
      </x:c>
      <x:c r="B8" s="16" t="str">
        <x:v>2000532110-U112</x:v>
      </x:c>
      <x:c r="C8" s="16" t="str">
        <x:v>ПРУЖИНА АО-8 60С2А К-1212</x:v>
      </x:c>
      <x:c r="D8" s="16" t="str">
        <x:v>Запасные части к котельно-вспомогательному оборудованию</x:v>
      </x:c>
      <x:c r="E8" s="16" t="str">
        <x:v>ШТ</x:v>
      </x:c>
      <x:c r="F8" s="21" t="n">
        <x:v>10</x:v>
      </x:c>
      <x:c r="G8" s="17" t="n">
        <x:v>41.114000000000004</x:v>
      </x:c>
      <x:c r="H8" s="17" t="n">
        <x:f>G8*F8</x:f>
        <x:v>411.14000000000004</x:v>
      </x:c>
      <x:c r="I8" s="22" t="str">
        <x:f>HYPERLINK("https://etp-aktiv.ru/catalog/materialy/zapasnye-chasti-osnovnogo-ehnergeticheskogo-oborudovaniya/2000532110-U112/","Открыть позицию")</x:f>
        <x:v>Открыть позицию</x:v>
      </x:c>
    </x:row>
    <x:row r="9" ht="28" customHeight="1">
      <x:c r="A9" s="16" t="str">
        <x:v>Ново-Кемеровская ТЭЦ</x:v>
      </x:c>
      <x:c r="B9" s="16" t="str">
        <x:v>2000920273-U411</x:v>
      </x:c>
      <x:c r="C9" s="16" t="str">
        <x:v>ЗВЕНО ОСНОВНОЕ ТЧ1705А</x:v>
      </x:c>
      <x:c r="D9" s="16" t="str">
        <x:v>Запасные части к котельно-вспомогательному оборудованию</x:v>
      </x:c>
      <x:c r="E9" s="16" t="str">
        <x:v>ШТ</x:v>
      </x:c>
      <x:c r="F9" s="21" t="n">
        <x:v>3</x:v>
      </x:c>
      <x:c r="G9" s="17" t="n">
        <x:v>8421.9894</x:v>
      </x:c>
      <x:c r="H9" s="17" t="n">
        <x:f>G9*F9</x:f>
        <x:v>25265.968200000003</x:v>
      </x:c>
      <x:c r="I9" s="22" t="str">
        <x:f>HYPERLINK("https://etp-aktiv.ru/catalog/materialy/zapasnye-chasti-osnovnogo-ehnergeticheskogo-oborudovaniya/2000920273-U411/","Открыть позицию")</x:f>
        <x:v>Открыть позицию</x:v>
      </x:c>
    </x:row>
    <x:row r="10" ht="28" customHeight="1">
      <x:c r="A10" s="16" t="str">
        <x:v>Ново-Кемеровская ТЭЦ</x:v>
      </x:c>
      <x:c r="B10" s="16" t="str">
        <x:v>2000532250-U411</x:v>
      </x:c>
      <x:c r="C10" s="16" t="str">
        <x:v>КОЛЕСО ЧЕРВЯЧНОЕ 10579-02</x:v>
      </x:c>
      <x:c r="D10" s="16" t="str">
        <x:v>ЗЧ к КВО</x:v>
      </x:c>
      <x:c r="E10" s="16" t="str">
        <x:v>ШТ</x:v>
      </x:c>
      <x:c r="F10" s="21" t="n">
        <x:v>13</x:v>
      </x:c>
      <x:c r="G10" s="17" t="n">
        <x:v>1628.7975999999999</x:v>
      </x:c>
      <x:c r="H10" s="17" t="n">
        <x:f>G10*F10</x:f>
        <x:v>21174.368799999997</x:v>
      </x:c>
      <x:c r="I10" s="22" t="str">
        <x:f>HYPERLINK("https://etp-aktiv.ru/catalog/materialy/zapasnye-chasti-osnovnogo-ehnergeticheskogo-oborudovaniya/2000532250-U411/","Открыть позицию")</x:f>
        <x:v>Открыть позицию</x:v>
      </x:c>
    </x:row>
    <x:row r="11" ht="28" customHeight="1">
      <x:c r="A11" s="16" t="str">
        <x:v>Ново-Кемеровская ТЭЦ</x:v>
      </x:c>
      <x:c r="B11" s="16" t="str">
        <x:v>2000532285-U411</x:v>
      </x:c>
      <x:c r="C11" s="16" t="str">
        <x:v>ЛЮК 120ММ 12261</x:v>
      </x:c>
      <x:c r="D11" s="16" t="str">
        <x:v>Запасные части к котельно-вспомогательному оборудованию</x:v>
      </x:c>
      <x:c r="E11" s="16" t="str">
        <x:v>ШТ</x:v>
      </x:c>
      <x:c r="F11" s="21" t="n">
        <x:v>3</x:v>
      </x:c>
      <x:c r="G11" s="17" t="n">
        <x:v>6939.2136</x:v>
      </x:c>
      <x:c r="H11" s="17" t="n">
        <x:f>G11*F11</x:f>
        <x:v>20817.6408</x:v>
      </x:c>
      <x:c r="I11" s="22" t="str">
        <x:f>HYPERLINK("https://etp-aktiv.ru/catalog/materialy/zapasnye-chasti-osnovnogo-ehnergeticheskogo-oborudovaniya/2000532285-U411/","Открыть позицию")</x:f>
        <x:v>Открыть позицию</x:v>
      </x:c>
    </x:row>
    <x:row r="12" ht="28" customHeight="1">
      <x:c r="A12" s="16" t="str">
        <x:v>Ново-Кемеровская ТЭЦ</x:v>
      </x:c>
      <x:c r="B12" s="16" t="str">
        <x:v>2000531832-U411</x:v>
      </x:c>
      <x:c r="C12" s="16" t="str">
        <x:v>ЛЮЧОК СВАРНОЙ 3644 D225ММ</x:v>
      </x:c>
      <x:c r="D12" s="16" t="str">
        <x:v>Запасные части к котлам</x:v>
      </x:c>
      <x:c r="E12" s="16" t="str">
        <x:v>ШТ</x:v>
      </x:c>
      <x:c r="F12" s="21" t="n">
        <x:v>1</x:v>
      </x:c>
      <x:c r="G12" s="17" t="n">
        <x:v>10568.25</x:v>
      </x:c>
      <x:c r="H12" s="17" t="n">
        <x:f>G12*F12</x:f>
        <x:v>10568.25</x:v>
      </x:c>
      <x:c r="I12" s="22" t="str">
        <x:f>HYPERLINK("https://etp-aktiv.ru/catalog/materialy/zapasnye-chasti-osnovnogo-ehnergeticheskogo-oborudovaniya/2000531832-U411/","Открыть позицию")</x:f>
        <x:v>Открыть позицию</x:v>
      </x:c>
    </x:row>
    <x:row r="13" ht="28" customHeight="1">
      <x:c r="A13" s="16" t="str">
        <x:v>Ново-Кемеровская ТЭЦ</x:v>
      </x:c>
      <x:c r="B13" s="16" t="str">
        <x:v>2000532413-U411</x:v>
      </x:c>
      <x:c r="C13" s="16" t="str">
        <x:v>РЕШЕТКА 7338СБ</x:v>
      </x:c>
      <x:c r="D13" s="16" t="str">
        <x:v>Запасные части к котельно-вспомогательному оборудованию</x:v>
      </x:c>
      <x:c r="E13" s="16" t="str">
        <x:v>ШТ</x:v>
      </x:c>
      <x:c r="F13" s="21" t="n">
        <x:v>2</x:v>
      </x:c>
      <x:c r="G13" s="17" t="n">
        <x:v>10980</x:v>
      </x:c>
      <x:c r="H13" s="17" t="n">
        <x:f>G13*F13</x:f>
        <x:v>21960</x:v>
      </x:c>
      <x:c r="I13" s="22" t="str">
        <x:f>HYPERLINK("https://etp-aktiv.ru/catalog/materialy/zapasnye-chasti-osnovnogo-ehnergeticheskogo-oborudovaniya/2000532413-U411/","Открыть позицию")</x:f>
        <x:v>Открыть позицию</x:v>
      </x:c>
    </x:row>
    <x:row r="14" ht="28" customHeight="1">
      <x:c r="A14" s="16" t="str">
        <x:v>Ново-Кемеровская ТЭЦ</x:v>
      </x:c>
      <x:c r="B14" s="16" t="str">
        <x:v>2000532324-U411</x:v>
      </x:c>
      <x:c r="C14" s="16" t="str">
        <x:v>СОПЛО ОРОШЕНИЯ ТРУБ ВЕНТУРИ 10788</x:v>
      </x:c>
      <x:c r="D14" s="16" t="str">
        <x:v>Запасные части к котельно-вспомогательному оборудованию</x:v>
      </x:c>
      <x:c r="E14" s="16" t="str">
        <x:v>ШТ</x:v>
      </x:c>
      <x:c r="F14" s="21" t="n">
        <x:v>3</x:v>
      </x:c>
      <x:c r="G14" s="17" t="n">
        <x:v>3325.9639999999995</x:v>
      </x:c>
      <x:c r="H14" s="17" t="n">
        <x:f>G14*F14</x:f>
        <x:v>9977.891999999998</x:v>
      </x:c>
      <x:c r="I14" s="22" t="str">
        <x:f>HYPERLINK("https://etp-aktiv.ru/catalog/materialy/zapasnye-chasti-osnovnogo-ehnergeticheskogo-oborudovaniya/2000532324-U411/","Открыть позицию")</x:f>
        <x:v>Открыть позицию</x:v>
      </x:c>
    </x:row>
    <x:row r="15" ht="28" customHeight="1">
      <x:c r="A15" s="16" t="str">
        <x:v>Ново-Кемеровская ТЭЦ</x:v>
      </x:c>
      <x:c r="B15" s="16" t="str">
        <x:v>2000532141-U411</x:v>
      </x:c>
      <x:c r="C15" s="16" t="str">
        <x:v>ФОРСУНКА D22 13702СБ</x:v>
      </x:c>
      <x:c r="D15" s="16" t="str">
        <x:v>Запасные части к котельно-вспомогательному оборудованию</x:v>
      </x:c>
      <x:c r="E15" s="16" t="str">
        <x:v>ШТ</x:v>
      </x:c>
      <x:c r="F15" s="21" t="n">
        <x:v>6</x:v>
      </x:c>
      <x:c r="G15" s="17" t="n">
        <x:v>17156.25</x:v>
      </x:c>
      <x:c r="H15" s="17" t="n">
        <x:f>G15*F15</x:f>
        <x:v>102937.5</x:v>
      </x:c>
      <x:c r="I15" s="22" t="str">
        <x:f>HYPERLINK("https://etp-aktiv.ru/catalog/materialy/zapasnye-chasti-osnovnogo-ehnergeticheskogo-oborudovaniya/2000532141-U411/","Открыть позицию")</x:f>
        <x:v>Открыть позицию</x:v>
      </x:c>
    </x:row>
    <x:row r="16" ht="28" customHeight="1">
      <x:c r="A16" s="16" t="str">
        <x:v>Теплоэнергетик</x:v>
      </x:c>
      <x:c r="B16" s="16" t="str">
        <x:v>2000026609-U911</x:v>
      </x:c>
      <x:c r="C16" s="16" t="str">
        <x:v>КОЛОСНИК ШЛАКОСНИМАТЕЛЯ Т22.00.007А</x:v>
      </x:c>
      <x:c r="D16" s="16" t="str">
        <x:v>Запасные части к котельно-вспомогательному оборудованию</x:v>
      </x:c>
      <x:c r="E16" s="16" t="str">
        <x:v>ШТ</x:v>
      </x:c>
      <x:c r="F16" s="21" t="n">
        <x:v>10</x:v>
      </x:c>
      <x:c r="G16" s="17" t="n">
        <x:v>903.8858</x:v>
      </x:c>
      <x:c r="H16" s="17" t="n">
        <x:f>G16*F16</x:f>
        <x:v>9038.858</x:v>
      </x:c>
      <x:c r="I16" s="22" t="str">
        <x:f>HYPERLINK("https://etp-aktiv.ru/catalog/materialy/zapasnye-chasti-osnovnogo-ehnergeticheskogo-oborudovaniya/2000026609-U911/","Открыть позицию")</x:f>
        <x:v>Открыть позицию</x:v>
      </x:c>
    </x:row>
    <x:row r="17" ht="28" customHeight="1">
      <x:c r="A17" s="16" t="str">
        <x:v>Томь-Усинская ГРЭС</x:v>
      </x:c>
      <x:c r="B17" s="16" t="str">
        <x:v>2000251222-U111</x:v>
      </x:c>
      <x:c r="C17" s="16" t="str">
        <x:v>БРОНЕПЛИТА ЦИК 100-К-525 СБ КОРПУС Б П13</x:v>
      </x:c>
      <x:c r="D17" s="16" t="str">
        <x:v>Запасные части к котельно-вспомогательному оборудованию</x:v>
      </x:c>
      <x:c r="E17" s="16" t="str">
        <x:v>ШТ</x:v>
      </x:c>
      <x:c r="F17" s="21" t="n">
        <x:v>4</x:v>
      </x:c>
      <x:c r="G17" s="17" t="n">
        <x:v>7022.3078</x:v>
      </x:c>
      <x:c r="H17" s="17" t="n">
        <x:f>G17*F17</x:f>
        <x:v>28089.2312</x:v>
      </x:c>
      <x:c r="I17" s="22" t="str">
        <x:f>HYPERLINK("https://etp-aktiv.ru/catalog/materialy/zapasnye-chasti-osnovnogo-ehnergeticheskogo-oborudovaniya/2000251222-U111/","Открыть позицию")</x:f>
        <x:v>Открыть позицию</x:v>
      </x:c>
    </x:row>
    <x:row r="18" ht="28" customHeight="1">
      <x:c r="A18" s="16" t="str">
        <x:v>Томь-Усинская ГРЭС</x:v>
      </x:c>
      <x:c r="B18" s="16" t="str">
        <x:v>2000532213-U111</x:v>
      </x:c>
      <x:c r="C18" s="16" t="str">
        <x:v>ГОЛОВКА СОПЛОВАЯ 727.70.000</x:v>
      </x:c>
      <x:c r="D18" s="16" t="str">
        <x:v>Запасные части к котельно-вспомогательному оборудованию</x:v>
      </x:c>
      <x:c r="E18" s="16" t="str">
        <x:v>ШТ</x:v>
      </x:c>
      <x:c r="F18" s="21" t="n">
        <x:v>2</x:v>
      </x:c>
      <x:c r="G18" s="17" t="n">
        <x:v>12294.855</x:v>
      </x:c>
      <x:c r="H18" s="17" t="n">
        <x:f>G18*F18</x:f>
        <x:v>24589.71</x:v>
      </x:c>
      <x:c r="I18" s="22" t="str">
        <x:f>HYPERLINK("https://etp-aktiv.ru/catalog/materialy/zapasnye-chasti-osnovnogo-ehnergeticheskogo-oborudovaniya/2000532213-U111/","Открыть позицию")</x:f>
        <x:v>Открыть позицию</x:v>
      </x:c>
    </x:row>
    <x:row r="19" ht="28" customHeight="1">
      <x:c r="A19" s="16" t="str">
        <x:v>Томь-Усинская ГРЭС</x:v>
      </x:c>
      <x:c r="B19" s="16" t="str">
        <x:v>2000531910-U111</x:v>
      </x:c>
      <x:c r="C19" s="16" t="str">
        <x:v>КЛАПАН ГАЗ КРУГЛ DУ600 13 ПГВУ 292-80</x:v>
      </x:c>
      <x:c r="D19" s="16" t="str">
        <x:v>Запасные части к котельно-вспомогательному оборудованию</x:v>
      </x:c>
      <x:c r="E19" s="16" t="str">
        <x:v>ШТ</x:v>
      </x:c>
      <x:c r="F19" s="21" t="n">
        <x:v>1</x:v>
      </x:c>
      <x:c r="G19" s="17" t="n">
        <x:v>38382.115</x:v>
      </x:c>
      <x:c r="H19" s="17" t="n">
        <x:f>G19*F19</x:f>
        <x:v>38382.115</x:v>
      </x:c>
      <x:c r="I19" s="22" t="str">
        <x:f>HYPERLINK("https://etp-aktiv.ru/catalog/materialy/zapasnye-chasti-osnovnogo-ehnergeticheskogo-oborudovaniya/2000531910-U111/","Открыть позицию")</x:f>
        <x:v>Открыть позицию</x:v>
      </x:c>
    </x:row>
    <x:row r="20" ht="28" customHeight="1">
      <x:c r="A20" s="16" t="str">
        <x:v>Томь-Усинская ГРЭС</x:v>
      </x:c>
      <x:c r="B20" s="16" t="str">
        <x:v>2000532286-U111</x:v>
      </x:c>
      <x:c r="C20" s="16" t="str">
        <x:v>ЛЮК DN500 706</x:v>
      </x:c>
      <x:c r="D20" s="16" t="str">
        <x:v>Запасные части к котельно-вспомогательному оборудованию</x:v>
      </x:c>
      <x:c r="E20" s="16" t="str">
        <x:v>ШТ</x:v>
      </x:c>
      <x:c r="F20" s="21" t="n">
        <x:v>2</x:v>
      </x:c>
      <x:c r="G20" s="17" t="n">
        <x:v>73447.51359999999</x:v>
      </x:c>
      <x:c r="H20" s="17" t="n">
        <x:f>G20*F20</x:f>
        <x:v>146895.02719999998</x:v>
      </x:c>
      <x:c r="I20" s="22" t="str">
        <x:f>HYPERLINK("https://etp-aktiv.ru/catalog/materialy/zapasnye-chasti-osnovnogo-ehnergeticheskogo-oborudovaniya/2000532286-U111/","Открыть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24390f3ba03b4af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Турбинное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2000849018-U112</x:v>
      </x:c>
      <x:c r="C5" s="16" t="str">
        <x:v>ПОЛУКОЛЬЦО 1492601-05 К-225 2434 2013ЛМЗ</x:v>
      </x:c>
      <x:c r="D5" s="16" t="str">
        <x:v>Запасные части к турбинам</x:v>
      </x:c>
      <x:c r="E5" s="16" t="str">
        <x:v>ШТ</x:v>
      </x:c>
      <x:c r="F5" s="21" t="n">
        <x:v>1</x:v>
      </x:c>
      <x:c r="G5" s="17" t="n">
        <x:v>6626.43</x:v>
      </x:c>
      <x:c r="H5" s="17" t="n">
        <x:f>G5*F5</x:f>
        <x:v>6626.43</x:v>
      </x:c>
      <x:c r="I5" s="22" t="str">
        <x:f>HYPERLINK("https://etp-aktiv.ru/catalog/materialy/zapasnye-chasti-osnovnogo-ehnergeticheskogo-oborudovaniya/2000849018-U112/","Открыть позицию")</x:f>
        <x:v>Открыть позицию</x:v>
      </x:c>
    </x:row>
    <x:row r="6" ht="28" customHeight="1">
      <x:c r="A6" s="16" t="str">
        <x:v>Кемеровская ГРЭС</x:v>
      </x:c>
      <x:c r="B6" s="16" t="str">
        <x:v>5000110254-U311</x:v>
      </x:c>
      <x:c r="C6" s="16" t="str">
        <x:v>КОНДЕНСАТОР ПАРА КПУ-50-2,5-2 1372194 СБ</x:v>
      </x:c>
      <x:c r="D6" s="16" t="str">
        <x:v>Турбинно-вспомогательное оборудование</x:v>
      </x:c>
      <x:c r="E6" s="16" t="str">
        <x:v>ШТ</x:v>
      </x:c>
      <x:c r="F6" s="21" t="n">
        <x:v>1</x:v>
      </x:c>
      <x:c r="G6" s="17" t="n">
        <x:v>730170</x:v>
      </x:c>
      <x:c r="H6" s="17" t="n">
        <x:f>G6*F6</x:f>
        <x:v>730170</x:v>
      </x:c>
      <x:c r="I6" s="22" t="str">
        <x:f>HYPERLINK("https://etp-aktiv.ru/catalog/materialy/zapasnye-chasti-osnovnogo-ehnergeticheskogo-oborudovaniya/5000110254-U311/","Открыть позицию")</x:f>
        <x:v>Открыть позицию</x:v>
      </x:c>
    </x:row>
    <x:row r="7" ht="28" customHeight="1">
      <x:c r="A7" s="16" t="str">
        <x:v>Кемеровская ГРЭС</x:v>
      </x:c>
      <x:c r="B7" s="16" t="str">
        <x:v>M5000085746-U311</x:v>
      </x:c>
      <x:c r="C7" s="16" t="str">
        <x:v>ПОДОГРЕВАТЕЛЬ ПВ-250-180-21</x:v>
      </x:c>
      <x:c r="D7" s="16" t="str">
        <x:v>Турбинно-вспомогательное оборудование</x:v>
      </x:c>
      <x:c r="E7" s="16" t="str">
        <x:v>ШТ</x:v>
      </x:c>
      <x:c r="F7" s="21" t="n">
        <x:v>1</x:v>
      </x:c>
      <x:c r="G7" s="17" t="n">
        <x:v>2823313.386</x:v>
      </x:c>
      <x:c r="H7" s="17" t="n">
        <x:f>G7*F7</x:f>
        <x:v>2823313.386</x:v>
      </x:c>
      <x:c r="I7" s="22" t="str">
        <x:f>HYPERLINK("https://etp-aktiv.ru/catalog/materialy/zapasnye-chasti-osnovnogo-ehnergeticheskogo-oborudovaniya/M5000085746-U311/","Открыть позицию")</x:f>
        <x:v>Открыть позицию</x:v>
      </x:c>
    </x:row>
    <x:row r="8" ht="28" customHeight="1">
      <x:c r="A8" s="16" t="str">
        <x:v>Кемеровская ГРЭС</x:v>
      </x:c>
      <x:c r="B8" s="16" t="str">
        <x:v>2000525541-U311</x:v>
      </x:c>
      <x:c r="C8" s="16" t="str">
        <x:v>ШПИЛЬКА МТ-171152-1 Т-100 26591 1974УТМЗ</x:v>
      </x:c>
      <x:c r="D8" s="16" t="str">
        <x:v>Запасные части к турбинам</x:v>
      </x:c>
      <x:c r="E8" s="16" t="str">
        <x:v>ШТ</x:v>
      </x:c>
      <x:c r="F8" s="21" t="n">
        <x:v>1</x:v>
      </x:c>
      <x:c r="G8" s="17" t="n">
        <x:v>15440.625</x:v>
      </x:c>
      <x:c r="H8" s="17" t="n">
        <x:f>G8*F8</x:f>
        <x:v>15440.625</x:v>
      </x:c>
      <x:c r="I8" s="22" t="str">
        <x:f>HYPERLINK("https://etp-aktiv.ru/catalog/materialy/zapasnye-chasti-osnovnogo-ehnergeticheskogo-oborudovaniya/2000525541-U311/","Открыть позицию")</x:f>
        <x:v>Открыть позицию</x:v>
      </x:c>
    </x:row>
    <x:row r="9" ht="28" customHeight="1">
      <x:c r="A9" s="16" t="str">
        <x:v>Ново-Кемеровская ТЭЦ</x:v>
      </x:c>
      <x:c r="B9" s="16" t="str">
        <x:v>2000578788-U411</x:v>
      </x:c>
      <x:c r="C9" s="16" t="str">
        <x:v>БОЛТ СТ-228954 ПТ-135-130 22516 1980УТМЗ</x:v>
      </x:c>
      <x:c r="D9" s="16" t="str">
        <x:v>Запасные части к турбинам</x:v>
      </x:c>
      <x:c r="E9" s="16" t="str">
        <x:v>ШТ</x:v>
      </x:c>
      <x:c r="F9" s="21" t="n">
        <x:v>12</x:v>
      </x:c>
      <x:c r="G9" s="17" t="n">
        <x:v>6671.875</x:v>
      </x:c>
      <x:c r="H9" s="17" t="n">
        <x:f>G9*F9</x:f>
        <x:v>80062.5</x:v>
      </x:c>
      <x:c r="I9" s="22" t="str">
        <x:f>HYPERLINK("https://etp-aktiv.ru/catalog/materialy/zapasnye-chasti-osnovnogo-ehnergeticheskogo-oborudovaniya/2000578788-U411/","Открыть позицию")</x:f>
        <x:v>Открыть позицию</x:v>
      </x:c>
    </x:row>
    <x:row r="10" ht="28" customHeight="1">
      <x:c r="A10" s="16" t="str">
        <x:v>Ново-Кемеровская ТЭЦ</x:v>
      </x:c>
      <x:c r="B10" s="16" t="str">
        <x:v>2000905103-U411</x:v>
      </x:c>
      <x:c r="C10" s="16" t="str">
        <x:v>ВИНТ МТ-211496 Т-110-130 26528 1966 УТМЗ</x:v>
      </x:c>
      <x:c r="D10" s="16" t="str">
        <x:v>Запасные части к турбинам</x:v>
      </x:c>
      <x:c r="E10" s="16" t="str">
        <x:v>ШТ</x:v>
      </x:c>
      <x:c r="F10" s="21" t="n">
        <x:v>10</x:v>
      </x:c>
      <x:c r="G10" s="17" t="n">
        <x:v>549</x:v>
      </x:c>
      <x:c r="H10" s="17" t="n">
        <x:f>G10*F10</x:f>
        <x:v>5490</x:v>
      </x:c>
      <x:c r="I10" s="22" t="str">
        <x:f>HYPERLINK("https://etp-aktiv.ru/catalog/materialy/zapasnye-chasti-osnovnogo-ehnergeticheskogo-oborudovaniya/2000905103-U411/","Открыть позицию")</x:f>
        <x:v>Открыть позицию</x:v>
      </x:c>
    </x:row>
    <x:row r="11" ht="28" customHeight="1">
      <x:c r="A11" s="16" t="str">
        <x:v>Ново-Кемеровская ТЭЦ</x:v>
      </x:c>
      <x:c r="B11" s="16" t="str">
        <x:v>2000578787-U411</x:v>
      </x:c>
      <x:c r="C11" s="16" t="str">
        <x:v>ГАЙКА МТ-185240 ПТ-135 22516 1980 УТМЗ</x:v>
      </x:c>
      <x:c r="D11" s="16" t="str">
        <x:v>Запасные части к турбинам</x:v>
      </x:c>
      <x:c r="E11" s="16" t="str">
        <x:v>ШТ</x:v>
      </x:c>
      <x:c r="F11" s="21" t="n">
        <x:v>5</x:v>
      </x:c>
      <x:c r="G11" s="17" t="n">
        <x:v>1830</x:v>
      </x:c>
      <x:c r="H11" s="17" t="n">
        <x:f>G11*F11</x:f>
        <x:v>9150</x:v>
      </x:c>
      <x:c r="I11" s="22" t="str">
        <x:f>HYPERLINK("https://etp-aktiv.ru/catalog/materialy/zapasnye-chasti-osnovnogo-ehnergeticheskogo-oborudovaniya/2000578787-U411/","Открыть позицию")</x:f>
        <x:v>Открыть позицию</x:v>
      </x:c>
    </x:row>
    <x:row r="12" ht="28" customHeight="1">
      <x:c r="A12" s="16" t="str">
        <x:v>Ново-Кемеровская ТЭЦ</x:v>
      </x:c>
      <x:c r="B12" s="16" t="str">
        <x:v>2001053962-U411</x:v>
      </x:c>
      <x:c r="C12" s="16" t="str">
        <x:v>КЛАПАН СТ-157599 ПТ-50/60 23523 1971УТМЗ</x:v>
      </x:c>
      <x:c r="D12" s="16" t="str">
        <x:v>Запасные части к турбинам</x:v>
      </x:c>
      <x:c r="E12" s="16" t="str">
        <x:v>ШТ</x:v>
      </x:c>
      <x:c r="F12" s="21" t="n">
        <x:v>1</x:v>
      </x:c>
      <x:c r="G12" s="17" t="n">
        <x:v>762500</x:v>
      </x:c>
      <x:c r="H12" s="17" t="n">
        <x:f>G12*F12</x:f>
        <x:v>762500</x:v>
      </x:c>
      <x:c r="I12" s="22" t="str">
        <x:f>HYPERLINK("https://etp-aktiv.ru/catalog/materialy/zapasnye-chasti-osnovnogo-ehnergeticheskogo-oborudovaniya/2001053962-U411/","Открыть позицию")</x:f>
        <x:v>Открыть позицию</x:v>
      </x:c>
    </x:row>
    <x:row r="13" ht="28" customHeight="1">
      <x:c r="A13" s="16" t="str">
        <x:v>Ново-Кемеровская ТЭЦ</x:v>
      </x:c>
      <x:c r="B13" s="16" t="str">
        <x:v>2000525067-U411</x:v>
      </x:c>
      <x:c r="C13" s="16" t="str">
        <x:v>ПРУЖИНА 1162197 Т-204/220 2176 1996 ЛМЗ</x:v>
      </x:c>
      <x:c r="D13" s="16" t="str">
        <x:v>Запасные части к турбинам</x:v>
      </x:c>
      <x:c r="E13" s="16" t="str">
        <x:v>ШТ</x:v>
      </x:c>
      <x:c r="F13" s="21" t="n">
        <x:v>6</x:v>
      </x:c>
      <x:c r="G13" s="17" t="n">
        <x:v>1819.935</x:v>
      </x:c>
      <x:c r="H13" s="17" t="n">
        <x:f>G13*F13</x:f>
        <x:v>10919.61</x:v>
      </x:c>
      <x:c r="I13" s="22" t="str">
        <x:f>HYPERLINK("https://etp-aktiv.ru/catalog/materialy/zapasnye-chasti-osnovnogo-ehnergeticheskogo-oborudovaniya/2000525067-U411/","Открыть позицию")</x:f>
        <x:v>Открыть позицию</x:v>
      </x:c>
    </x:row>
    <x:row r="14" ht="28" customHeight="1">
      <x:c r="A14" s="16" t="str">
        <x:v>Ново-Кемеровская ТЭЦ</x:v>
      </x:c>
      <x:c r="B14" s="16" t="str">
        <x:v>2000525475-U411</x:v>
      </x:c>
      <x:c r="C14" s="16" t="str">
        <x:v>ПРУЖИНА МТ-180189 ПТ135 22516 1980 УТМЗ</x:v>
      </x:c>
      <x:c r="D14" s="16" t="str">
        <x:v>Запасные части к турбинам</x:v>
      </x:c>
      <x:c r="E14" s="16" t="str">
        <x:v>ШТ</x:v>
      </x:c>
      <x:c r="F14" s="21" t="n">
        <x:v>65</x:v>
      </x:c>
      <x:c r="G14" s="17" t="n">
        <x:v>366</x:v>
      </x:c>
      <x:c r="H14" s="17" t="n">
        <x:f>G14*F14</x:f>
        <x:v>23790</x:v>
      </x:c>
      <x:c r="I14" s="22" t="str">
        <x:f>HYPERLINK("https://etp-aktiv.ru/catalog/materialy/zapasnye-chasti-osnovnogo-ehnergeticheskogo-oborudovaniya/2000525475-U411/","Открыть позицию")</x:f>
        <x:v>Открыть позицию</x:v>
      </x:c>
    </x:row>
    <x:row r="15" ht="28" customHeight="1">
      <x:c r="A15" s="16" t="str">
        <x:v>Ново-Кемеровская ТЭЦ</x:v>
      </x:c>
      <x:c r="B15" s="16" t="str">
        <x:v>2000176497-U411</x:v>
      </x:c>
      <x:c r="C15" s="16" t="str">
        <x:v>ПРУЖИНА ПЛОСКАЯ СТ-198390</x:v>
      </x:c>
      <x:c r="D15" s="16" t="str">
        <x:v>Запасные части к турбинам</x:v>
      </x:c>
      <x:c r="E15" s="16" t="str">
        <x:v>ШТ</x:v>
      </x:c>
      <x:c r="F15" s="21" t="n">
        <x:v>179</x:v>
      </x:c>
      <x:c r="G15" s="17" t="n">
        <x:v>366</x:v>
      </x:c>
      <x:c r="H15" s="17" t="n">
        <x:f>G15*F15</x:f>
        <x:v>65514</x:v>
      </x:c>
      <x:c r="I15" s="22" t="str">
        <x:f>HYPERLINK("https://etp-aktiv.ru/catalog/materialy/zapasnye-chasti-osnovnogo-ehnergeticheskogo-oborudovaniya/2000176497-U411/","Открыть позицию")</x:f>
        <x:v>Открыть позицию</x:v>
      </x:c>
    </x:row>
    <x:row r="16" ht="28" customHeight="1">
      <x:c r="A16" s="16" t="str">
        <x:v>Ново-Кемеровская ТЭЦ</x:v>
      </x:c>
      <x:c r="B16" s="16" t="str">
        <x:v>2000163816-U411</x:v>
      </x:c>
      <x:c r="C16" s="16" t="str">
        <x:v>ПРУЖИНА ПЛОСКАЯ СТ-207235</x:v>
      </x:c>
      <x:c r="D16" s="16" t="str">
        <x:v>Запасные части к турбинам</x:v>
      </x:c>
      <x:c r="E16" s="16" t="str">
        <x:v>ШТ</x:v>
      </x:c>
      <x:c r="F16" s="21" t="n">
        <x:v>30</x:v>
      </x:c>
      <x:c r="G16" s="17" t="n">
        <x:v>91.5</x:v>
      </x:c>
      <x:c r="H16" s="17" t="n">
        <x:f>G16*F16</x:f>
        <x:v>2745</x:v>
      </x:c>
      <x:c r="I16" s="22" t="str">
        <x:f>HYPERLINK("https://etp-aktiv.ru/catalog/materialy/zapasnye-chasti-osnovnogo-ehnergeticheskogo-oborudovaniya/2000163816-U411/","Открыть позицию")</x:f>
        <x:v>Открыть позицию</x:v>
      </x:c>
    </x:row>
    <x:row r="17" ht="28" customHeight="1">
      <x:c r="A17" s="16" t="str">
        <x:v>Ново-Кемеровская ТЭЦ</x:v>
      </x:c>
      <x:c r="B17" s="16" t="str">
        <x:v>2000527296-U411</x:v>
      </x:c>
      <x:c r="C17" s="16" t="str">
        <x:v>ПРУЖИНА СТ139414-1 ПТ135 22516 1980 УТМЗ</x:v>
      </x:c>
      <x:c r="D17" s="16" t="str">
        <x:v>Запасные части к турбинам</x:v>
      </x:c>
      <x:c r="E17" s="16" t="str">
        <x:v>ШТ</x:v>
      </x:c>
      <x:c r="F17" s="21" t="n">
        <x:v>46</x:v>
      </x:c>
      <x:c r="G17" s="17" t="n">
        <x:v>150.975</x:v>
      </x:c>
      <x:c r="H17" s="17" t="n">
        <x:f>G17*F17</x:f>
        <x:v>6944.849999999999</x:v>
      </x:c>
      <x:c r="I17" s="22" t="str">
        <x:f>HYPERLINK("https://etp-aktiv.ru/catalog/materialy/zapasnye-chasti-osnovnogo-ehnergeticheskogo-oborudovaniya/2000527296-U411/","Открыть позицию")</x:f>
        <x:v>Открыть позицию</x:v>
      </x:c>
    </x:row>
    <x:row r="18" ht="28" customHeight="1">
      <x:c r="A18" s="16" t="str">
        <x:v>Ново-Кемеровская ТЭЦ</x:v>
      </x:c>
      <x:c r="B18" s="16" t="str">
        <x:v>2000593423-U411</x:v>
      </x:c>
      <x:c r="C18" s="16" t="str">
        <x:v>РОЛИК МТ217095 ПТ135/165 22516 1980 УТМЗ</x:v>
      </x:c>
      <x:c r="D18" s="16" t="str">
        <x:v>Запасные части к турбинам</x:v>
      </x:c>
      <x:c r="E18" s="16" t="str">
        <x:v>ШТ</x:v>
      </x:c>
      <x:c r="F18" s="21" t="n">
        <x:v>2</x:v>
      </x:c>
      <x:c r="G18" s="17" t="n">
        <x:v>5795</x:v>
      </x:c>
      <x:c r="H18" s="17" t="n">
        <x:f>G18*F18</x:f>
        <x:v>11590</x:v>
      </x:c>
      <x:c r="I18" s="22" t="str">
        <x:f>HYPERLINK("https://etp-aktiv.ru/catalog/materialy/zapasnye-chasti-osnovnogo-ehnergeticheskogo-oborudovaniya/2000593423-U411/","Открыть позицию")</x:f>
        <x:v>Открыть позицию</x:v>
      </x:c>
    </x:row>
    <x:row r="19" ht="28" customHeight="1">
      <x:c r="A19" s="16" t="str">
        <x:v>Ново-Кемеровская ТЭЦ</x:v>
      </x:c>
      <x:c r="B19" s="16" t="str">
        <x:v>2000705061-U411</x:v>
      </x:c>
      <x:c r="C19" s="16" t="str">
        <x:v>УПЛОТНЕНИЕ К316.137.04.000СБ ПТР-80 2099</x:v>
      </x:c>
      <x:c r="D19" s="16" t="str">
        <x:v>ЗЧ турбин</x:v>
      </x:c>
      <x:c r="E19" s="16" t="str">
        <x:v>ШТ</x:v>
      </x:c>
      <x:c r="F19" s="21" t="n">
        <x:v>1</x:v>
      </x:c>
      <x:c r="G19" s="17" t="n">
        <x:v>904336.9194</x:v>
      </x:c>
      <x:c r="H19" s="17" t="n">
        <x:f>G19*F19</x:f>
        <x:v>904336.9194</x:v>
      </x:c>
      <x:c r="I19" s="22" t="str">
        <x:f>HYPERLINK("https://etp-aktiv.ru/catalog/materialy/zapasnye-chasti-osnovnogo-ehnergeticheskogo-oborudovaniya/2000705061-U411/","Открыть позицию")</x:f>
        <x:v>Открыть позицию</x:v>
      </x:c>
    </x:row>
    <x:row r="20" ht="28" customHeight="1">
      <x:c r="A20" s="16" t="str">
        <x:v>Ново-Кемеровская ТЭЦ</x:v>
      </x:c>
      <x:c r="B20" s="16" t="str">
        <x:v>2000705060-U411</x:v>
      </x:c>
      <x:c r="C20" s="16" t="str">
        <x:v>УПЛОТНЕНИЕ КЭ42.136.04.000СБ ПТР-80 2099</x:v>
      </x:c>
      <x:c r="D20" s="16" t="str">
        <x:v>ЗЧ турбин</x:v>
      </x:c>
      <x:c r="E20" s="16" t="str">
        <x:v>ШТ</x:v>
      </x:c>
      <x:c r="F20" s="21" t="n">
        <x:v>1</x:v>
      </x:c>
      <x:c r="G20" s="17" t="n">
        <x:v>904336.9194</x:v>
      </x:c>
      <x:c r="H20" s="17" t="n">
        <x:f>G20*F20</x:f>
        <x:v>904336.9194</x:v>
      </x:c>
      <x:c r="I20" s="22" t="str">
        <x:f>HYPERLINK("https://etp-aktiv.ru/catalog/materialy/zapasnye-chasti-osnovnogo-ehnergeticheskogo-oborudovaniya/2000705060-U411/","Открыть позицию")</x:f>
        <x:v>Открыть позицию</x:v>
      </x:c>
    </x:row>
    <x:row r="21" ht="28" customHeight="1">
      <x:c r="A21" s="16" t="str">
        <x:v>Ново-Кемеровская ТЭЦ</x:v>
      </x:c>
      <x:c r="B21" s="16" t="str">
        <x:v>2000872828-U411</x:v>
      </x:c>
      <x:c r="C21" s="16" t="str">
        <x:v>ШАЙБА МТ-116308 Т-65-130 31505 2012 УТЗ</x:v>
      </x:c>
      <x:c r="D21" s="16" t="str">
        <x:v>Запасные части к турбинам</x:v>
      </x:c>
      <x:c r="E21" s="16" t="str">
        <x:v>ШТ</x:v>
      </x:c>
      <x:c r="F21" s="21" t="n">
        <x:v>5</x:v>
      </x:c>
      <x:c r="G21" s="17" t="n">
        <x:v>1830</x:v>
      </x:c>
      <x:c r="H21" s="17" t="n">
        <x:f>G21*F21</x:f>
        <x:v>9150</x:v>
      </x:c>
      <x:c r="I21" s="22" t="str">
        <x:f>HYPERLINK("https://etp-aktiv.ru/catalog/materialy/zapasnye-chasti-osnovnogo-ehnergeticheskogo-oborudovaniya/2000872828-U411/","Открыть позицию")</x:f>
        <x:v>Открыть позицию</x:v>
      </x:c>
    </x:row>
    <x:row r="22" ht="28" customHeight="1">
      <x:c r="A22" s="16" t="str">
        <x:v>Ново-Кемеровская ТЭЦ</x:v>
      </x:c>
      <x:c r="B22" s="16" t="str">
        <x:v>2000738759-U411</x:v>
      </x:c>
      <x:c r="C22" s="16" t="str">
        <x:v>ШАЙБА СТ-170446 ПТ 50/60 23524 1972 УТМЗ</x:v>
      </x:c>
      <x:c r="D22" s="16" t="str">
        <x:v>Запасные части к турбинам</x:v>
      </x:c>
      <x:c r="E22" s="16" t="str">
        <x:v>ШТ</x:v>
      </x:c>
      <x:c r="F22" s="21" t="n">
        <x:v>1</x:v>
      </x:c>
      <x:c r="G22" s="17" t="n">
        <x:v>5599.8</x:v>
      </x:c>
      <x:c r="H22" s="17" t="n">
        <x:f>G22*F22</x:f>
        <x:v>5599.8</x:v>
      </x:c>
      <x:c r="I22" s="22" t="str">
        <x:f>HYPERLINK("https://etp-aktiv.ru/catalog/materialy/zapasnye-chasti-osnovnogo-ehnergeticheskogo-oborudovaniya/2000738759-U411/","Открыть позицию")</x:f>
        <x:v>Открыть позицию</x:v>
      </x:c>
    </x:row>
    <x:row r="23" ht="28" customHeight="1">
      <x:c r="A23" s="16" t="str">
        <x:v>Томь-Усинская ГРЭС</x:v>
      </x:c>
      <x:c r="B23" s="16" t="str">
        <x:v>2000595254-U111</x:v>
      </x:c>
      <x:c r="C23" s="16" t="str">
        <x:v>СЕГМЕНТ 1355366 К-100-90-5 553 1956 ЛМЗ</x:v>
      </x:c>
      <x:c r="D23" s="16" t="str">
        <x:v>Запасные части к турбинам</x:v>
      </x:c>
      <x:c r="E23" s="16" t="str">
        <x:v>ШТ</x:v>
      </x:c>
      <x:c r="F23" s="21" t="n">
        <x:v>2</x:v>
      </x:c>
      <x:c r="G23" s="17" t="n">
        <x:v>10919.61</x:v>
      </x:c>
      <x:c r="H23" s="17" t="n">
        <x:f>G23*F23</x:f>
        <x:v>21839.22</x:v>
      </x:c>
      <x:c r="I23" s="22" t="str">
        <x:f>HYPERLINK("https://etp-aktiv.ru/catalog/materialy/zapasnye-chasti-osnovnogo-ehnergeticheskogo-oborudovaniya/2000595254-U111/","Открыть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f790f127be7d4833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Железнодорожное оборудование и материалы ВСП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2000001129-U112</x:v>
      </x:c>
      <x:c r="C5" s="16" t="str">
        <x:v>КОЛЬЦО УПЛОТНИТЕЛЬНОЕ Д100.01.031-А</x:v>
      </x:c>
      <x:c r="D5" s="16" t="str">
        <x:v>Запасные части к локомотивам</x:v>
      </x:c>
      <x:c r="E5" s="16" t="str">
        <x:v>ШТ</x:v>
      </x:c>
      <x:c r="F5" s="21" t="n">
        <x:v>84</x:v>
      </x:c>
      <x:c r="G5" s="17" t="n">
        <x:v>49.0318</x:v>
      </x:c>
      <x:c r="H5" s="17" t="n">
        <x:f>G5*F5</x:f>
        <x:v>4118.6712</x:v>
      </x:c>
      <x:c r="I5" s="22" t="str">
        <x:f>HYPERLINK("https://etp-aktiv.ru/catalog/materialy/zapasnye-chasti-k-zhd-oborudovaniyu-i-podvizhnomu-sostavu/2000001129-U112/","Открыть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2000028330-U112</x:v>
      </x:c>
      <x:c r="C6" s="16" t="str">
        <x:v>КРАН КОНЦЕВОЙ N190</x:v>
      </x:c>
      <x:c r="D6" s="16" t="str">
        <x:v>Запасные части к вагонам</x:v>
      </x:c>
      <x:c r="E6" s="16" t="str">
        <x:v>ШТ</x:v>
      </x:c>
      <x:c r="F6" s="21" t="n">
        <x:v>36</x:v>
      </x:c>
      <x:c r="G6" s="17" t="n">
        <x:v>2677.0216</x:v>
      </x:c>
      <x:c r="H6" s="17" t="n">
        <x:f>G6*F6</x:f>
        <x:v>96372.7776</x:v>
      </x:c>
      <x:c r="I6" s="22" t="str">
        <x:f>HYPERLINK("https://etp-aktiv.ru/catalog/materialy/zapasnye-chasti-k-zhd-oborudovaniyu-i-podvizhnomu-sostavu/2000028330-U112/","Открыть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2000254786-U112</x:v>
      </x:c>
      <x:c r="C7" s="16" t="str">
        <x:v>ЩЕТКОДЕРЖАТЕЛЬ 06.04.4095.30</x:v>
      </x:c>
      <x:c r="D7" s="16" t="str">
        <x:v>Запасные части к локомотивам</x:v>
      </x:c>
      <x:c r="E7" s="16" t="str">
        <x:v>ШТ</x:v>
      </x:c>
      <x:c r="F7" s="21" t="n">
        <x:v>8</x:v>
      </x:c>
      <x:c r="G7" s="17" t="n">
        <x:v>6679.5</x:v>
      </x:c>
      <x:c r="H7" s="17" t="n">
        <x:f>G7*F7</x:f>
        <x:v>53436</x:v>
      </x:c>
      <x:c r="I7" s="22" t="str">
        <x:f>HYPERLINK("https://etp-aktiv.ru/catalog/materialy/zapasnye-chasti-k-zhd-oborudovaniyu-i-podvizhnomu-sostavu/2000254786-U112/","Открыть позицию")</x:f>
        <x:v>Открыть позицию</x:v>
      </x:c>
    </x:row>
    <x:row r="8" ht="28" customHeight="1">
      <x:c r="A8" s="16" t="str">
        <x:v>Кемеровская ГРЭС</x:v>
      </x:c>
      <x:c r="B8" s="16" t="str">
        <x:v>2000556065-U311</x:v>
      </x:c>
      <x:c r="C8" s="16" t="str">
        <x:v>РЕЛЬС Р43-М76-12,5 ГОСТ7173-54</x:v>
      </x:c>
      <x:c r="D8" s="16" t="str">
        <x:v>Материалы ВСП</x:v>
      </x:c>
      <x:c r="E8" s="16" t="str">
        <x:v>Т</x:v>
      </x:c>
      <x:c r="F8" s="29" t="n">
        <x:v>15.414</x:v>
      </x:c>
      <x:c r="G8" s="17" t="n">
        <x:v>14030</x:v>
      </x:c>
      <x:c r="H8" s="17" t="n">
        <x:f>G8*F8</x:f>
        <x:v>216258.41999999998</x:v>
      </x:c>
      <x:c r="I8" s="22" t="str">
        <x:f>HYPERLINK("https://etp-aktiv.ru/catalog/materialy/metalloprodukciya/2000556065-U311/","Открыть позицию")</x:f>
        <x:v>Открыть позицию</x:v>
      </x:c>
    </x:row>
    <x:row r="9" ht="28" customHeight="1">
      <x:c r="A9" s="16" t="str">
        <x:v>Кемеровская ГРЭС</x:v>
      </x:c>
      <x:c r="B9" s="16" t="str">
        <x:v>M2000526230-U311</x:v>
      </x:c>
      <x:c r="C9" s="16" t="str">
        <x:v>СТОПОР ПУТЕВОЙ 200-6Э</x:v>
      </x:c>
      <x:c r="D9" s="16" t="str">
        <x:v>ЗЧ к локомотивам</x:v>
      </x:c>
      <x:c r="E9" s="16" t="str">
        <x:v>ШТ</x:v>
      </x:c>
      <x:c r="F9" s="21" t="n">
        <x:v>1</x:v>
      </x:c>
      <x:c r="G9" s="17" t="n">
        <x:v>8698.6</x:v>
      </x:c>
      <x:c r="H9" s="17" t="n">
        <x:f>G9*F9</x:f>
        <x:v>8698.6</x:v>
      </x:c>
      <x:c r="I9" s="22" t="str">
        <x:f>HYPERLINK("https://etp-aktiv.ru/catalog/materialy/zapasnye-chasti-k-zhd-oborudovaniyu-i-podvizhnomu-sostavu/M2000526230-U311/","Открыть позицию")</x:f>
        <x:v>Открыть позицию</x:v>
      </x:c>
    </x:row>
    <x:row r="10" ht="28" customHeight="1">
      <x:c r="A10" s="16" t="str">
        <x:v>Ново-Кемеровская ТЭЦ</x:v>
      </x:c>
      <x:c r="B10" s="16" t="str">
        <x:v>M2000866668-U411</x:v>
      </x:c>
      <x:c r="C10" s="16" t="str">
        <x:v>КОТЕЛ ЦИСТЕРНЫ 15-1406 АЛЮМИНИЙ Б/У</x:v>
      </x:c>
      <x:c r="D10" s="16" t="str">
        <x:v>Запасные части к ж/д оборудованию и подвижному составу БУ</x:v>
      </x:c>
      <x:c r="E10" s="16" t="str">
        <x:v>ШТ</x:v>
      </x:c>
      <x:c r="F10" s="21" t="n">
        <x:v>1</x:v>
      </x:c>
      <x:c r="G10" s="17" t="n">
        <x:v>955412.5</x:v>
      </x:c>
      <x:c r="H10" s="17" t="n">
        <x:f>G10*F10</x:f>
        <x:v>955412.5</x:v>
      </x:c>
      <x:c r="I10" s="22" t="str">
        <x:f>HYPERLINK("https://etp-aktiv.ru/catalog/materialy/zapasnye-chasti-k-zhd-oborudovaniyu-i-podvizhnomu-sostavu/M2000866668-U411/","Открыть позицию")</x:f>
        <x:v>Открыть позицию</x:v>
      </x:c>
    </x:row>
    <x:row r="11" ht="28" customHeight="1">
      <x:c r="A11" s="16" t="str">
        <x:v>Ново-Кемеровская ТЭЦ</x:v>
      </x:c>
      <x:c r="B11" s="16" t="str">
        <x:v>2000015254-U411</x:v>
      </x:c>
      <x:c r="C11" s="16" t="str">
        <x:v>ПОДКЛАДКА Д-50 ГОСТ12135-75</x:v>
      </x:c>
      <x:c r="D11" s="16" t="str">
        <x:v>Материалы ВСП</x:v>
      </x:c>
      <x:c r="E11" s="16" t="str">
        <x:v>Т</x:v>
      </x:c>
      <x:c r="F11" s="29" t="n">
        <x:v>2.082</x:v>
      </x:c>
      <x:c r="G11" s="17" t="n">
        <x:v>241473.07499999998</x:v>
      </x:c>
      <x:c r="H11" s="17" t="n">
        <x:f>G11*F11</x:f>
        <x:v>502746.9421499999</x:v>
      </x:c>
      <x:c r="I11" s="22" t="str">
        <x:f>HYPERLINK("https://etp-aktiv.ru/catalog/materialy/metalloprodukciya/2000015254-U411/","Открыть позицию")</x:f>
        <x:v>Открыть позицию</x:v>
      </x:c>
    </x:row>
    <x:row r="12" ht="28" customHeight="1">
      <x:c r="A12" s="16" t="str">
        <x:v>Ново-Кемеровская ТЭЦ</x:v>
      </x:c>
      <x:c r="B12" s="16" t="str">
        <x:v>2000157874-U411</x:v>
      </x:c>
      <x:c r="C12" s="16" t="str">
        <x:v>ПОДКЛАДКА Д-65 ГОСТ8194-75</x:v>
      </x:c>
      <x:c r="D12" s="16" t="str">
        <x:v>Материалы ВСП</x:v>
      </x:c>
      <x:c r="E12" s="16" t="str">
        <x:v>Т</x:v>
      </x:c>
      <x:c r="F12" s="30" t="n">
        <x:v>0.06</x:v>
      </x:c>
      <x:c r="G12" s="17" t="n">
        <x:v>166679.023</x:v>
      </x:c>
      <x:c r="H12" s="17" t="n">
        <x:f>G12*F12</x:f>
        <x:v>10000.74138</x:v>
      </x:c>
      <x:c r="I12" s="22" t="str">
        <x:f>HYPERLINK("https://etp-aktiv.ru/catalog/materialy/metalloprodukciya/2000157874-U411/","Открыть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a832428ada0e4c4f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Промышленная безопасность, пожарное оборудование и медицина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2000218195-U112</x:v>
      </x:c>
      <x:c r="C5" s="16" t="str">
        <x:v>ГОЛОВКА РУКАВНАЯ ГР-70</x:v>
      </x:c>
      <x:c r="D5" s="16" t="str">
        <x:v>Запасные части к противопожарному оборудованию</x:v>
      </x:c>
      <x:c r="E5" s="16" t="str">
        <x:v>ШТ</x:v>
      </x:c>
      <x:c r="F5" s="21" t="n">
        <x:v>40</x:v>
      </x:c>
      <x:c r="G5" s="17" t="n">
        <x:v>58.913799999999995</x:v>
      </x:c>
      <x:c r="H5" s="17" t="n">
        <x:f>G5*F5</x:f>
        <x:v>2356.5519999999997</x:v>
      </x:c>
      <x:c r="I5" s="22" t="str">
        <x:f>HYPERLINK("https://etp-aktiv.ru/catalog/materialy/protivopozharnye-materialy/2000218195-U112/","Открыть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2000524221-U112</x:v>
      </x:c>
      <x:c r="C6" s="16" t="str">
        <x:v>КОЛЬЦО КН-50 ГОСТ6557</x:v>
      </x:c>
      <x:c r="D6" s="16" t="str">
        <x:v>Запасные части к противопожарному оборудованию</x:v>
      </x:c>
      <x:c r="E6" s="16" t="str">
        <x:v>ШТ</x:v>
      </x:c>
      <x:c r="F6" s="21" t="n">
        <x:v>184</x:v>
      </x:c>
      <x:c r="G6" s="17" t="n">
        <x:v>11.6998</x:v>
      </x:c>
      <x:c r="H6" s="17" t="n">
        <x:f>G6*F6</x:f>
        <x:v>2152.7632</x:v>
      </x:c>
      <x:c r="I6" s="22" t="str">
        <x:f>HYPERLINK("https://etp-aktiv.ru/catalog/materialy/protivopozharnye-materialy/2000524221-U112/","Открыть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2000524255-U112</x:v>
      </x:c>
      <x:c r="C7" s="16" t="str">
        <x:v>ОРОСИТЕЛЬ ДВВ-10 ДВО0-РВО(Д)0,35-R1/2</x:v>
      </x:c>
      <x:c r="D7" s="16" t="str">
        <x:v>Запасные части к противопожарному оборудованию</x:v>
      </x:c>
      <x:c r="E7" s="16" t="str">
        <x:v>ШТ</x:v>
      </x:c>
      <x:c r="F7" s="21" t="n">
        <x:v>50</x:v>
      </x:c>
      <x:c r="G7" s="17" t="n">
        <x:v>230.0066</x:v>
      </x:c>
      <x:c r="H7" s="17" t="n">
        <x:f>G7*F7</x:f>
        <x:v>11500.33</x:v>
      </x:c>
      <x:c r="I7" s="22" t="str">
        <x:f>HYPERLINK("https://etp-aktiv.ru/catalog/materialy/protivopozharnye-materialy/2000524255-U112/","Открыть позицию")</x:f>
        <x:v>Открыть позицию</x:v>
      </x:c>
    </x:row>
    <x:row r="8" ht="28" customHeight="1">
      <x:c r="A8" s="16" t="str">
        <x:v>Беловская ГРЭС</x:v>
      </x:c>
      <x:c r="B8" s="16" t="str">
        <x:v>2000218326-U112</x:v>
      </x:c>
      <x:c r="C8" s="16" t="str">
        <x:v>СТВОЛ ПОЖАРНЫЙ РС 50</x:v>
      </x:c>
      <x:c r="D8" s="16" t="str">
        <x:v>Запасные части к противопожарному оборудованию</x:v>
      </x:c>
      <x:c r="E8" s="16" t="str">
        <x:v>ШТ</x:v>
      </x:c>
      <x:c r="F8" s="21" t="n">
        <x:v>89</x:v>
      </x:c>
      <x:c r="G8" s="17" t="n">
        <x:v>25.5102</x:v>
      </x:c>
      <x:c r="H8" s="17" t="n">
        <x:f>G8*F8</x:f>
        <x:v>2270.4078</x:v>
      </x:c>
      <x:c r="I8" s="22" t="str">
        <x:f>HYPERLINK("https://etp-aktiv.ru/catalog/materialy/protivopozharnye-materialy/2000218326-U112/","Открыть позицию")</x:f>
        <x:v>Открыть позицию</x:v>
      </x:c>
    </x:row>
    <x:row r="9" ht="28" customHeight="1">
      <x:c r="A9" s="16" t="str">
        <x:v>Кемеровская ГРЭС</x:v>
      </x:c>
      <x:c r="B9" s="16" t="str">
        <x:v>2000523439-U311</x:v>
      </x:c>
      <x:c r="C9" s="16" t="str">
        <x:v>ГИДРАНТ ПОЖАРНЫЙ ГП-Н 1,5</x:v>
      </x:c>
      <x:c r="D9" s="16" t="str">
        <x:v>Запасные части к противопожарному оборудованию</x:v>
      </x:c>
      <x:c r="E9" s="16" t="str">
        <x:v>ШТ</x:v>
      </x:c>
      <x:c r="F9" s="21" t="n">
        <x:v>2</x:v>
      </x:c>
      <x:c r="G9" s="17" t="n">
        <x:v>2636.9201999999996</x:v>
      </x:c>
      <x:c r="H9" s="17" t="n">
        <x:f>G9*F9</x:f>
        <x:v>5273.840399999999</x:v>
      </x:c>
      <x:c r="I9" s="22" t="str">
        <x:f>HYPERLINK("https://etp-aktiv.ru/catalog/materialy/protivopozharnye-materialy/2000523439-U311/","Открыть позицию")</x:f>
        <x:v>Открыть позицию</x:v>
      </x:c>
    </x:row>
    <x:row r="10" ht="28" customHeight="1">
      <x:c r="A10" s="16" t="str">
        <x:v>Кемеровская ГРЭС</x:v>
      </x:c>
      <x:c r="B10" s="16" t="str">
        <x:v>2000649648-U311</x:v>
      </x:c>
      <x:c r="C10" s="16" t="str">
        <x:v>МАСКА 3-Х СЛ ОДНОРАЗОВАЯ НА РЕЗИНКАХ</x:v>
      </x:c>
      <x:c r="D10" s="16" t="str">
        <x:v>Медицинские товары COVID</x:v>
      </x:c>
      <x:c r="E10" s="16" t="str">
        <x:v>ШТ</x:v>
      </x:c>
      <x:c r="F10" s="21" t="n">
        <x:v>21545</x:v>
      </x:c>
      <x:c r="G10" s="17" t="n">
        <x:v>1.5006</x:v>
      </x:c>
      <x:c r="H10" s="17" t="n">
        <x:f>G10*F10</x:f>
        <x:v>32330.427</x:v>
      </x:c>
      <x:c r="I10" s="22" t="str">
        <x:f>HYPERLINK("https://etp-aktiv.ru/catalog/materialy/medikamenty-i-produkciya-medicinskogo-naznacheniya/2000649648-U311/","Открыть позицию")</x:f>
        <x:v>Открыть позицию</x:v>
      </x:c>
    </x:row>
    <x:row r="11" ht="28" customHeight="1">
      <x:c r="A11" s="16" t="str">
        <x:v>Кемеровская ГРЭС</x:v>
      </x:c>
      <x:c r="B11" s="16" t="str">
        <x:v>2001163491-U311</x:v>
      </x:c>
      <x:c r="C11" s="16" t="str">
        <x:v>МОДУЛЬ ПОРОШ ПОЖАР ЭПОТОС БУРАН-15КД ВЗР</x:v>
      </x:c>
      <x:c r="D11" s="16" t="str">
        <x:v>Противопожарные материалы</x:v>
      </x:c>
      <x:c r="E11" s="16" t="str">
        <x:v>ШТ</x:v>
      </x:c>
      <x:c r="F11" s="21" t="n">
        <x:v>45</x:v>
      </x:c>
      <x:c r="G11" s="17" t="n">
        <x:v>18886.3076</x:v>
      </x:c>
      <x:c r="H11" s="17" t="n">
        <x:f>G11*F11</x:f>
        <x:v>849883.842</x:v>
      </x:c>
      <x:c r="I11" s="22" t="str">
        <x:f>HYPERLINK("https://etp-aktiv.ru/catalog/materialy/protivopozharnye-materialy/2001163491-U311/","Открыть позицию")</x:f>
        <x:v>Открыть позицию</x:v>
      </x:c>
    </x:row>
    <x:row r="12" ht="28" customHeight="1">
      <x:c r="A12" s="16" t="str">
        <x:v>Ново-Кемеровская ТЭЦ</x:v>
      </x:c>
      <x:c r="B12" s="16" t="str">
        <x:v>2000218350-U411</x:v>
      </x:c>
      <x:c r="C12" s="16" t="str">
        <x:v>ГАЙКА НАРУЖНАЯ ГМ-50</x:v>
      </x:c>
      <x:c r="D12" s="16" t="str">
        <x:v>Запасные части к противопожарному оборудованию</x:v>
      </x:c>
      <x:c r="E12" s="16" t="str">
        <x:v>ШТ</x:v>
      </x:c>
      <x:c r="F12" s="21" t="n">
        <x:v>30</x:v>
      </x:c>
      <x:c r="G12" s="17" t="n">
        <x:v>70.455</x:v>
      </x:c>
      <x:c r="H12" s="17" t="n">
        <x:f>G12*F12</x:f>
        <x:v>2113.65</x:v>
      </x:c>
      <x:c r="I12" s="22" t="str">
        <x:f>HYPERLINK("https://etp-aktiv.ru/catalog/materialy/protivopozharnye-materialy/2000218350-U411/","Открыть позицию")</x:f>
        <x:v>Открыть позицию</x:v>
      </x:c>
    </x:row>
    <x:row r="13" ht="28" customHeight="1">
      <x:c r="A13" s="16" t="str">
        <x:v>Ново-Кемеровская ТЭЦ</x:v>
      </x:c>
      <x:c r="B13" s="16" t="str">
        <x:v>2000326742-U411</x:v>
      </x:c>
      <x:c r="C13" s="16" t="str">
        <x:v>КЛАПАН ПОЖАРНЫЙ КПЛ 50-1</x:v>
      </x:c>
      <x:c r="D13" s="16" t="str">
        <x:v>Запасные части к противопожарному оборудованию</x:v>
      </x:c>
      <x:c r="E13" s="16" t="str">
        <x:v>ШТ</x:v>
      </x:c>
      <x:c r="F13" s="21" t="n">
        <x:v>7</x:v>
      </x:c>
      <x:c r="G13" s="17" t="n">
        <x:v>915</x:v>
      </x:c>
      <x:c r="H13" s="17" t="n">
        <x:f>G13*F13</x:f>
        <x:v>6405</x:v>
      </x:c>
      <x:c r="I13" s="22" t="str">
        <x:f>HYPERLINK("https://etp-aktiv.ru/catalog/materialy/protivopozharnye-materialy/2000326742-U411/","Открыть позицию")</x:f>
        <x:v>Открыть позицию</x:v>
      </x:c>
    </x:row>
    <x:row r="14" ht="28" customHeight="1">
      <x:c r="A14" s="16" t="str">
        <x:v>Ново-Кемеровская ТЭЦ</x:v>
      </x:c>
      <x:c r="B14" s="16" t="str">
        <x:v>2000527088-U411</x:v>
      </x:c>
      <x:c r="C14" s="16" t="str">
        <x:v>КРАН ПОЖАРН УГЛОВОЙ РПТК-50 С ГМ50-1,6ПМ</x:v>
      </x:c>
      <x:c r="D14" s="16" t="str">
        <x:v>Запасные части к противопожарному оборудованию</x:v>
      </x:c>
      <x:c r="E14" s="16" t="str">
        <x:v>КМП</x:v>
      </x:c>
      <x:c r="F14" s="21" t="n">
        <x:v>10</x:v>
      </x:c>
      <x:c r="G14" s="17" t="n">
        <x:v>266.7286</x:v>
      </x:c>
      <x:c r="H14" s="17" t="n">
        <x:f>G14*F14</x:f>
        <x:v>2667.2859999999996</x:v>
      </x:c>
      <x:c r="I14" s="22" t="str">
        <x:f>HYPERLINK("https://etp-aktiv.ru/catalog/materialy/protivopozharnye-materialy/2000527088-U411/","Открыть позицию")</x:f>
        <x:v>Открыть позицию</x:v>
      </x:c>
    </x:row>
    <x:row r="15" ht="28" customHeight="1">
      <x:c r="A15" s="16" t="str">
        <x:v>Ново-Кемеровская ТЭЦ</x:v>
      </x:c>
      <x:c r="B15" s="16" t="str">
        <x:v>2000524249-U411</x:v>
      </x:c>
      <x:c r="C15" s="16" t="str">
        <x:v>ОПОВЕЩАТЕЛЬ РЕЧЕВОЙ АСР-10.2.5 10ВТ</x:v>
      </x:c>
      <x:c r="D15" s="16" t="str">
        <x:v>Запасные части к противопожарному оборудованию</x:v>
      </x:c>
      <x:c r="E15" s="16" t="str">
        <x:v>ШТ</x:v>
      </x:c>
      <x:c r="F15" s="21" t="n">
        <x:v>7</x:v>
      </x:c>
      <x:c r="G15" s="17" t="n">
        <x:v>724.375</x:v>
      </x:c>
      <x:c r="H15" s="17" t="n">
        <x:f>G15*F15</x:f>
        <x:v>5070.625</x:v>
      </x:c>
      <x:c r="I15" s="22" t="str">
        <x:f>HYPERLINK("https://etp-aktiv.ru/catalog/materialy/protivopozharnye-materialy/2000524249-U411/","Открыть позицию")</x:f>
        <x:v>Открыть позицию</x:v>
      </x:c>
    </x:row>
    <x:row r="16" ht="28" customHeight="1">
      <x:c r="A16" s="16" t="str">
        <x:v>Ново-Кемеровская ТЭЦ</x:v>
      </x:c>
      <x:c r="B16" s="16" t="str">
        <x:v>2000332222-U411</x:v>
      </x:c>
      <x:c r="C16" s="16" t="str">
        <x:v>ПАТРОН ДОПОЛНИТЕЛЬНЫЙ ДПГ-3</x:v>
      </x:c>
      <x:c r="D16" s="16" t="str">
        <x:v>Запасные части и расходные материалы к тренажёрам обучающим</x:v>
      </x:c>
      <x:c r="E16" s="16" t="str">
        <x:v>ШТ</x:v>
      </x:c>
      <x:c r="F16" s="21" t="n">
        <x:v>35</x:v>
      </x:c>
      <x:c r="G16" s="17" t="n">
        <x:v>475.8</x:v>
      </x:c>
      <x:c r="H16" s="17" t="n">
        <x:f>G16*F16</x:f>
        <x:v>16653</x:v>
      </x:c>
      <x:c r="I16" s="22" t="str">
        <x:f>HYPERLINK("https://etp-aktiv.ru/catalog/materialy/prochie-materialy/2000332222-U411/","Открыть позицию")</x:f>
        <x:v>Открыть позицию</x:v>
      </x:c>
    </x:row>
    <x:row r="17" ht="28" customHeight="1">
      <x:c r="A17" s="16" t="str">
        <x:v>Ново-Кемеровская ТЭЦ</x:v>
      </x:c>
      <x:c r="B17" s="16" t="str">
        <x:v>2000524272-U411</x:v>
      </x:c>
      <x:c r="C17" s="16" t="str">
        <x:v>ПОДСТАВКА ПОЖ ДВОЙНАЯ ФЛАНЦ ППДФ DN100</x:v>
      </x:c>
      <x:c r="D17" s="16" t="str">
        <x:v>ЗЧ противопож оборуд</x:v>
      </x:c>
      <x:c r="E17" s="16" t="str">
        <x:v>ШТ</x:v>
      </x:c>
      <x:c r="F17" s="21" t="n">
        <x:v>1</x:v>
      </x:c>
      <x:c r="G17" s="17" t="n">
        <x:v>749.8851999999999</x:v>
      </x:c>
      <x:c r="H17" s="17" t="n">
        <x:f>G17*F17</x:f>
        <x:v>749.8851999999999</x:v>
      </x:c>
      <x:c r="I17" s="22" t="str">
        <x:f>HYPERLINK("https://etp-aktiv.ru/catalog/materialy/protivopozharnye-materialy/2000524272-U411/","Открыть позицию")</x:f>
        <x:v>Открыть позицию</x:v>
      </x:c>
    </x:row>
    <x:row r="18" ht="28" customHeight="1">
      <x:c r="A18" s="16" t="str">
        <x:v>Томь-Усинская ГРЭС</x:v>
      </x:c>
      <x:c r="B18" s="16" t="str">
        <x:v>2000339011-U111</x:v>
      </x:c>
      <x:c r="C18" s="16" t="str">
        <x:v>АПТЕЧКА КОЛЛЕКТИВНАЯ ФЭСТ ЗСN1 400-600Ч</x:v>
      </x:c>
      <x:c r="D18" s="16" t="str">
        <x:v>Медикаменты и продукция медицинского назначения</x:v>
      </x:c>
      <x:c r="E18" s="16" t="str">
        <x:v>ШТ</x:v>
      </x:c>
      <x:c r="F18" s="21" t="n">
        <x:v>2</x:v>
      </x:c>
      <x:c r="G18" s="17" t="n">
        <x:v>14274</x:v>
      </x:c>
      <x:c r="H18" s="17" t="n">
        <x:f>G18*F18</x:f>
        <x:v>28548</x:v>
      </x:c>
      <x:c r="I18" s="22" t="str">
        <x:f>HYPERLINK("https://etp-aktiv.ru/catalog/materialy/medikamenty-i-produkciya-medicinskogo-naznacheniya/2000339011-U111/","Открыть позицию")</x:f>
        <x:v>Открыть позицию</x:v>
      </x:c>
    </x:row>
    <x:row r="19" ht="28" customHeight="1">
      <x:c r="A19" s="16" t="str">
        <x:v>Томь-Усинская ГРЭС</x:v>
      </x:c>
      <x:c r="B19" s="16" t="str">
        <x:v>2000596376-U111</x:v>
      </x:c>
      <x:c r="C19" s="16" t="str">
        <x:v>КМП ФЕЛЬДШЕРА ЗС ГО НА 20 ЧЕЛОВЕК</x:v>
      </x:c>
      <x:c r="D19" s="16" t="str">
        <x:v>Медикаменты и продукция медицинского назначения</x:v>
      </x:c>
      <x:c r="E19" s="16" t="str">
        <x:v>ШТ</x:v>
      </x:c>
      <x:c r="F19" s="21" t="n">
        <x:v>2</x:v>
      </x:c>
      <x:c r="G19" s="17" t="n">
        <x:v>49936.125</x:v>
      </x:c>
      <x:c r="H19" s="17" t="n">
        <x:f>G19*F19</x:f>
        <x:v>99872.25</x:v>
      </x:c>
      <x:c r="I19" s="22" t="str">
        <x:f>HYPERLINK("https://etp-aktiv.ru/catalog/materialy/medikamenty-i-produkciya-medicinskogo-naznacheniya/2000596376-U111/","Открыть позицию")</x:f>
        <x:v>Открыть позицию</x:v>
      </x:c>
    </x:row>
    <x:row r="20" ht="28" customHeight="1">
      <x:c r="A20" s="16" t="str">
        <x:v>Томь-Усинская ГРЭС</x:v>
      </x:c>
      <x:c r="B20" s="16" t="str">
        <x:v>2000238559-U111</x:v>
      </x:c>
      <x:c r="C20" s="16" t="str">
        <x:v>ОГНЕТУШИТЕЛЬ ОУ-25</x:v>
      </x:c>
      <x:c r="D20" s="16" t="str">
        <x:v>Противопожарные материалы</x:v>
      </x:c>
      <x:c r="E20" s="16" t="str">
        <x:v>ШТ</x:v>
      </x:c>
      <x:c r="F20" s="21" t="n">
        <x:v>1</x:v>
      </x:c>
      <x:c r="G20" s="17" t="n">
        <x:v>9058.5</x:v>
      </x:c>
      <x:c r="H20" s="17" t="n">
        <x:f>G20*F20</x:f>
        <x:v>9058.5</x:v>
      </x:c>
      <x:c r="I20" s="22" t="str">
        <x:f>HYPERLINK("https://etp-aktiv.ru/catalog/materialy/protivopozharnye-materialy/2000238559-U111/","Открыть позицию")</x:f>
        <x:v>Открыть позицию</x:v>
      </x:c>
    </x:row>
    <x:row r="21" ht="28" customHeight="1">
      <x:c r="A21" s="16" t="str">
        <x:v>Томь-Усинская ГРЭС</x:v>
      </x:c>
      <x:c r="B21" s="16" t="str">
        <x:v>2000032813-U111</x:v>
      </x:c>
      <x:c r="C21" s="16" t="str">
        <x:v>ПАКЕТ ИНД ПРОТИВОХИМ ИПП-11</x:v>
      </x:c>
      <x:c r="D21" s="16" t="str">
        <x:v>Медикаменты и продукция медицинского назначения</x:v>
      </x:c>
      <x:c r="E21" s="16" t="str">
        <x:v>УПК</x:v>
      </x:c>
      <x:c r="F21" s="21" t="n">
        <x:v>71</x:v>
      </x:c>
      <x:c r="G21" s="17" t="n">
        <x:v>79.7636</x:v>
      </x:c>
      <x:c r="H21" s="17" t="n">
        <x:f>G21*F21</x:f>
        <x:v>5663.2155999999995</x:v>
      </x:c>
      <x:c r="I21" s="22" t="str">
        <x:f>HYPERLINK("https://etp-aktiv.ru/catalog/materialy/medikamenty-i-produkciya-medicinskogo-naznacheniya/2000032813-U111/","Открыть позицию")</x:f>
        <x:v>Открыть позицию</x:v>
      </x:c>
    </x:row>
    <x:row r="22" ht="28" customHeight="1">
      <x:c r="A22" s="16" t="str">
        <x:v>Томь-Усинская ГРЭС</x:v>
      </x:c>
      <x:c r="B22" s="16" t="str">
        <x:v>2000144211-U111</x:v>
      </x:c>
      <x:c r="C22" s="16" t="str">
        <x:v>ПАКЕТ ИНДИВИДУАЛЬНЫЙ ПЕРЕВЯЗОЧНЫЙ ИПП-1</x:v>
      </x:c>
      <x:c r="D22" s="16" t="str">
        <x:v>Медикаменты и продукция медицинского назначения</x:v>
      </x:c>
      <x:c r="E22" s="16" t="str">
        <x:v>ШТ</x:v>
      </x:c>
      <x:c r="F22" s="21" t="n">
        <x:v>181</x:v>
      </x:c>
      <x:c r="G22" s="17" t="n">
        <x:v>37.6736</x:v>
      </x:c>
      <x:c r="H22" s="17" t="n">
        <x:f>G22*F22</x:f>
        <x:v>6818.9216</x:v>
      </x:c>
      <x:c r="I22" s="22" t="str">
        <x:f>HYPERLINK("https://etp-aktiv.ru/catalog/materialy/medikamenty-i-produkciya-medicinskogo-naznacheniya/2000144211-U111/","Открыть позицию")</x:f>
        <x:v>Открыть позицию</x:v>
      </x:c>
    </x:row>
    <x:row r="23" ht="28" customHeight="1">
      <x:c r="A23" s="16" t="str">
        <x:v>Томь-Усинская ГРЭС</x:v>
      </x:c>
      <x:c r="B23" s="16" t="str">
        <x:v>2000332222-U111</x:v>
      </x:c>
      <x:c r="C23" s="16" t="str">
        <x:v>ПАТРОН ДОПОЛНИТЕЛЬНЫЙ ДПГ-3</x:v>
      </x:c>
      <x:c r="D23" s="16" t="str">
        <x:v>Запасные части и расходные материалы к тренажёрам обучающим</x:v>
      </x:c>
      <x:c r="E23" s="16" t="str">
        <x:v>ШТ</x:v>
      </x:c>
      <x:c r="F23" s="21" t="n">
        <x:v>634</x:v>
      </x:c>
      <x:c r="G23" s="17" t="n">
        <x:v>234.6548</x:v>
      </x:c>
      <x:c r="H23" s="17" t="n">
        <x:f>G23*F23</x:f>
        <x:v>148771.1432</x:v>
      </x:c>
      <x:c r="I23" s="22" t="str">
        <x:f>HYPERLINK("https://etp-aktiv.ru/catalog/materialy/prochie-materialy/2000332222-U111/","Открыть позицию")</x:f>
        <x:v>Открыть позицию</x:v>
      </x:c>
    </x:row>
    <x:row r="24" ht="28" customHeight="1">
      <x:c r="A24" s="16" t="str">
        <x:v>Томь-Усинская ГРЭС</x:v>
      </x:c>
      <x:c r="B24" s="16" t="str">
        <x:v>2000356215-U111</x:v>
      </x:c>
      <x:c r="C24" s="16" t="str">
        <x:v>СТВОЛ ПОЖАРНЫЙ ЛС-П20</x:v>
      </x:c>
      <x:c r="D24" s="16" t="str">
        <x:v>Запасные части к противопожарному оборудованию</x:v>
      </x:c>
      <x:c r="E24" s="16" t="str">
        <x:v>ШТ</x:v>
      </x:c>
      <x:c r="F24" s="21" t="n">
        <x:v>4</x:v>
      </x:c>
      <x:c r="G24" s="17" t="n">
        <x:v>25925</x:v>
      </x:c>
      <x:c r="H24" s="17" t="n">
        <x:f>G24*F24</x:f>
        <x:v>103700</x:v>
      </x:c>
      <x:c r="I24" s="22" t="str">
        <x:f>HYPERLINK("https://etp-aktiv.ru/catalog/materialy/protivopozharnye-materialy/2000356215-U111/","Открыть позицию")</x:f>
        <x:v>Открыть позицию</x:v>
      </x:c>
    </x:row>
    <x:row r="25" ht="28" customHeight="1">
      <x:c r="A25" s="16" t="str">
        <x:v>Томь-Усинская ГРЭС</x:v>
      </x:c>
      <x:c r="B25" s="16" t="str">
        <x:v>2000538874-U111</x:v>
      </x:c>
      <x:c r="C25" s="16" t="str">
        <x:v>СУМКА САНИТАРН ПО ПРИК N61 ОТ 08.02.2013</x:v>
      </x:c>
      <x:c r="D25" s="16" t="str">
        <x:v>Медикаменты и продукция медицинского назначения</x:v>
      </x:c>
      <x:c r="E25" s="16" t="str">
        <x:v>ШТ</x:v>
      </x:c>
      <x:c r="F25" s="21" t="n">
        <x:v>70</x:v>
      </x:c>
      <x:c r="G25" s="17" t="n">
        <x:v>230.3482</x:v>
      </x:c>
      <x:c r="H25" s="17" t="n">
        <x:f>G25*F25</x:f>
        <x:v>16124.374</x:v>
      </x:c>
      <x:c r="I25" s="22" t="str">
        <x:f>HYPERLINK("https://etp-aktiv.ru/catalog/materialy/medikamenty-i-produkciya-medicinskogo-naznacheniya/2000538874-U111/","Открыть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6199cac4f9864010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Строительные материалы и ЖБИ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2000551458-U112</x:v>
      </x:c>
      <x:c r="C5" s="16" t="str">
        <x:v>ВИНТ САМОНАРЕЗАЮЩИЙ ШСГД 3,8 35 1</x:v>
      </x:c>
      <x:c r="D5" s="16" t="str">
        <x:v>Строительные материалы прочие</x:v>
      </x:c>
      <x:c r="E5" s="16" t="str">
        <x:v>ШТ</x:v>
      </x:c>
      <x:c r="F5" s="21" t="n">
        <x:v>100</x:v>
      </x:c>
      <x:c r="G5" s="17" t="n">
        <x:v>1.6714</x:v>
      </x:c>
      <x:c r="H5" s="17" t="n">
        <x:f>G5*F5</x:f>
        <x:v>167.14</x:v>
      </x:c>
      <x:c r="I5" s="22" t="str">
        <x:f>HYPERLINK("https://etp-aktiv.ru/catalog/materialy/stroitelnye-materialy/2000551458-U112/","Открыть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2000551465-U112</x:v>
      </x:c>
      <x:c r="C6" s="16" t="str">
        <x:v>ВИНТ САМОНАРЕЗАЮЩИЙ ШСММ 4,2*16</x:v>
      </x:c>
      <x:c r="D6" s="16" t="str">
        <x:v>Строительные материалы прочие</x:v>
      </x:c>
      <x:c r="E6" s="16" t="str">
        <x:v>ШТ</x:v>
      </x:c>
      <x:c r="F6" s="21" t="n">
        <x:v>1000</x:v>
      </x:c>
      <x:c r="G6" s="17" t="n">
        <x:v>0.4148</x:v>
      </x:c>
      <x:c r="H6" s="17" t="n">
        <x:f>G6*F6</x:f>
        <x:v>414.8</x:v>
      </x:c>
      <x:c r="I6" s="22" t="str">
        <x:f>HYPERLINK("https://etp-aktiv.ru/catalog/materialy/stroitelnye-materialy/2000551465-U112/","Открыть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2000374794-U112</x:v>
      </x:c>
      <x:c r="C7" s="16" t="str">
        <x:v>ГЕРМЕТИК ABRO 2400 1/24 SS-2400 310МЛ</x:v>
      </x:c>
      <x:c r="D7" s="16" t="str">
        <x:v>Строительные материалы прочие</x:v>
      </x:c>
      <x:c r="E7" s="16" t="str">
        <x:v>ШТ</x:v>
      </x:c>
      <x:c r="F7" s="21" t="n">
        <x:v>4</x:v>
      </x:c>
      <x:c r="G7" s="17" t="n">
        <x:v>394.9994</x:v>
      </x:c>
      <x:c r="H7" s="17" t="n">
        <x:f>G7*F7</x:f>
        <x:v>1579.9976</x:v>
      </x:c>
      <x:c r="I7" s="22" t="str">
        <x:f>HYPERLINK("https://etp-aktiv.ru/catalog/materialy/stroitelnye-materialy/2000374794-U112/","Открыть позицию")</x:f>
        <x:v>Открыть позицию</x:v>
      </x:c>
    </x:row>
    <x:row r="8" ht="28" customHeight="1">
      <x:c r="A8" s="16" t="str">
        <x:v>Беловская ГРЭС</x:v>
      </x:c>
      <x:c r="B8" s="16" t="str">
        <x:v>2000259775-U112</x:v>
      </x:c>
      <x:c r="C8" s="16" t="str">
        <x:v>ДОСКА ОБРЕЗНАЯ СОСНА 1СОРТ 20*150*6000</x:v>
      </x:c>
      <x:c r="D8" s="16" t="str">
        <x:v>Пиломатериал</x:v>
      </x:c>
      <x:c r="E8" s="16" t="str">
        <x:v>М3</x:v>
      </x:c>
      <x:c r="F8" s="29" t="n">
        <x:v>5.379</x:v>
      </x:c>
      <x:c r="G8" s="17" t="n">
        <x:v>13154.393800000002</x:v>
      </x:c>
      <x:c r="H8" s="17" t="n">
        <x:f>G8*F8</x:f>
        <x:v>70757.48425020001</x:v>
      </x:c>
      <x:c r="I8" s="22" t="str">
        <x:f>HYPERLINK("https://etp-aktiv.ru/catalog/materialy/stroitelnye-materialy/2000259775-U112/","Открыть позицию")</x:f>
        <x:v>Открыть позицию</x:v>
      </x:c>
    </x:row>
    <x:row r="9" ht="28" customHeight="1">
      <x:c r="A9" s="16" t="str">
        <x:v>Беловская ГРЭС</x:v>
      </x:c>
      <x:c r="B9" s="16" t="str">
        <x:v>2000162402-U112</x:v>
      </x:c>
      <x:c r="C9" s="16" t="str">
        <x:v>ИЗВЕСТЬ СТРОИТ НЕГАШЕН КОМОВАЯ 1СОРТ</x:v>
      </x:c>
      <x:c r="D9" s="16" t="str">
        <x:v>Строительные материалы прочие</x:v>
      </x:c>
      <x:c r="E9" s="16" t="str">
        <x:v>КГ</x:v>
      </x:c>
      <x:c r="F9" s="21" t="n">
        <x:v>4</x:v>
      </x:c>
      <x:c r="G9" s="17" t="n">
        <x:v>28.06</x:v>
      </x:c>
      <x:c r="H9" s="17" t="n">
        <x:f>G9*F9</x:f>
        <x:v>112.24</x:v>
      </x:c>
      <x:c r="I9" s="22" t="str">
        <x:f>HYPERLINK("https://etp-aktiv.ru/catalog/materialy/stroitelnye-materialy/2000162402-U112/","Открыть позицию")</x:f>
        <x:v>Открыть позицию</x:v>
      </x:c>
    </x:row>
    <x:row r="10" ht="28" customHeight="1">
      <x:c r="A10" s="16" t="str">
        <x:v>Беловская ГРЭС</x:v>
      </x:c>
      <x:c r="B10" s="16" t="str">
        <x:v>2000164085-U112</x:v>
      </x:c>
      <x:c r="C10" s="16" t="str">
        <x:v>КИРПИЧ ШБ 475-16 ГОСТ390-96</x:v>
      </x:c>
      <x:c r="D10" s="16" t="str">
        <x:v>Огнеупорные материалы</x:v>
      </x:c>
      <x:c r="E10" s="16" t="str">
        <x:v>Т</x:v>
      </x:c>
      <x:c r="F10" s="29" t="n">
        <x:v>13.664</x:v>
      </x:c>
      <x:c r="G10" s="17" t="n">
        <x:v>29309.402</x:v>
      </x:c>
      <x:c r="H10" s="17" t="n">
        <x:f>G10*F10</x:f>
        <x:v>400483.66892799997</x:v>
      </x:c>
      <x:c r="I10" s="22" t="str">
        <x:f>HYPERLINK("https://etp-aktiv.ru/catalog/materialy/ogneupornye-materialy/2000164085-U112/","Открыть позицию")</x:f>
        <x:v>Открыть позицию</x:v>
      </x:c>
    </x:row>
    <x:row r="11" ht="28" customHeight="1">
      <x:c r="A11" s="16" t="str">
        <x:v>Беловская ГРЭС</x:v>
      </x:c>
      <x:c r="B11" s="16" t="str">
        <x:v>2000718403-U112</x:v>
      </x:c>
      <x:c r="C11" s="16" t="str">
        <x:v>ЛЕН ТРЕПАНЫЙ N11 ГОСТ10330-91</x:v>
      </x:c>
      <x:c r="D11" s="16" t="str">
        <x:v>Строительные материалы прочие</x:v>
      </x:c>
      <x:c r="E11" s="16" t="str">
        <x:v>КГ</x:v>
      </x:c>
      <x:c r="F11" s="29" t="n">
        <x:v>2.2</x:v>
      </x:c>
      <x:c r="G11" s="17" t="n">
        <x:v>730.0968</x:v>
      </x:c>
      <x:c r="H11" s="17" t="n">
        <x:f>G11*F11</x:f>
        <x:v>1606.2129600000003</x:v>
      </x:c>
      <x:c r="I11" s="22" t="str">
        <x:f>HYPERLINK("https://etp-aktiv.ru/catalog/materialy/stroitelnye-materialy/2000718403-U112/","Открыть позицию")</x:f>
        <x:v>Открыть позицию</x:v>
      </x:c>
    </x:row>
    <x:row r="12" ht="28" customHeight="1">
      <x:c r="A12" s="16" t="str">
        <x:v>Беловская ГРЭС</x:v>
      </x:c>
      <x:c r="B12" s="16" t="str">
        <x:v>2000551527-U112</x:v>
      </x:c>
      <x:c r="C12" s="16" t="str">
        <x:v>ЛЕНТА ФУМ-1 0,1*25ММ</x:v>
      </x:c>
      <x:c r="D12" s="16" t="str">
        <x:v>Строительные материалы прочие</x:v>
      </x:c>
      <x:c r="E12" s="16" t="str">
        <x:v>КГ</x:v>
      </x:c>
      <x:c r="F12" s="29" t="n">
        <x:v>1.62</x:v>
      </x:c>
      <x:c r="G12" s="17" t="n">
        <x:v>3014.6931999999997</x:v>
      </x:c>
      <x:c r="H12" s="17" t="n">
        <x:f>G12*F12</x:f>
        <x:v>4883.802984</x:v>
      </x:c>
      <x:c r="I12" s="22" t="str">
        <x:f>HYPERLINK("https://etp-aktiv.ru/catalog/materialy/stroitelnye-materialy/2000551527-U112/","Открыть позицию")</x:f>
        <x:v>Открыть позицию</x:v>
      </x:c>
    </x:row>
    <x:row r="13" ht="28" customHeight="1">
      <x:c r="A13" s="16" t="str">
        <x:v>Беловская ГРЭС</x:v>
      </x:c>
      <x:c r="B13" s="16" t="str">
        <x:v>2000551530-U112</x:v>
      </x:c>
      <x:c r="C13" s="16" t="str">
        <x:v>ЛЕНТА ФУМ-1 0,2*25ММ</x:v>
      </x:c>
      <x:c r="D13" s="16" t="str">
        <x:v>Строительные материалы прочие</x:v>
      </x:c>
      <x:c r="E13" s="16" t="str">
        <x:v>КГ</x:v>
      </x:c>
      <x:c r="F13" s="29" t="n">
        <x:v>11.592</x:v>
      </x:c>
      <x:c r="G13" s="17" t="n">
        <x:v>2433.5706</x:v>
      </x:c>
      <x:c r="H13" s="17" t="n">
        <x:f>G13*F13</x:f>
        <x:v>28209.9503952</x:v>
      </x:c>
      <x:c r="I13" s="22" t="str">
        <x:f>HYPERLINK("https://etp-aktiv.ru/catalog/materialy/stroitelnye-materialy/2000551530-U112/","Открыть позицию")</x:f>
        <x:v>Открыть позицию</x:v>
      </x:c>
    </x:row>
    <x:row r="14" ht="28" customHeight="1">
      <x:c r="A14" s="16" t="str">
        <x:v>Беловская ГРЭС</x:v>
      </x:c>
      <x:c r="B14" s="16" t="str">
        <x:v>2000550734-U112</x:v>
      </x:c>
      <x:c r="C14" s="16" t="str">
        <x:v>МЕЛ ПРИРОДНЫЙ МТД-Б</x:v>
      </x:c>
      <x:c r="D14" s="16" t="str">
        <x:v>Строительные материалы прочие</x:v>
      </x:c>
      <x:c r="E14" s="16" t="str">
        <x:v>КГ</x:v>
      </x:c>
      <x:c r="F14" s="21" t="n">
        <x:v>2</x:v>
      </x:c>
      <x:c r="G14" s="17" t="n">
        <x:v>83.21619999999999</x:v>
      </x:c>
      <x:c r="H14" s="17" t="n">
        <x:f>G14*F14</x:f>
        <x:v>166.43239999999997</x:v>
      </x:c>
      <x:c r="I14" s="22" t="str">
        <x:f>HYPERLINK("https://etp-aktiv.ru/catalog/materialy/stroitelnye-materialy/2000550734-U112/","Открыть позицию")</x:f>
        <x:v>Открыть позицию</x:v>
      </x:c>
    </x:row>
    <x:row r="15" ht="28" customHeight="1">
      <x:c r="A15" s="16" t="str">
        <x:v>Беловская ГРЭС</x:v>
      </x:c>
      <x:c r="B15" s="16" t="str">
        <x:v>2000282078-U112</x:v>
      </x:c>
      <x:c r="C15" s="16" t="str">
        <x:v>ПЛИТА ДВПО 2,5*1,22*2,75ММ</x:v>
      </x:c>
      <x:c r="D15" s="16" t="str">
        <x:v>Строительные материалы прочие</x:v>
      </x:c>
      <x:c r="E15" s="16" t="str">
        <x:v>ШТ</x:v>
      </x:c>
      <x:c r="F15" s="21" t="n">
        <x:v>5</x:v>
      </x:c>
      <x:c r="G15" s="17" t="n">
        <x:v>165.8468</x:v>
      </x:c>
      <x:c r="H15" s="17" t="n">
        <x:f>G15*F15</x:f>
        <x:v>829.234</x:v>
      </x:c>
      <x:c r="I15" s="22" t="str">
        <x:f>HYPERLINK("https://etp-aktiv.ru/catalog/materialy/stroitelnye-materialy/2000282078-U112/","Открыть позицию")</x:f>
        <x:v>Открыть позицию</x:v>
      </x:c>
    </x:row>
    <x:row r="16" ht="28" customHeight="1">
      <x:c r="A16" s="16" t="str">
        <x:v>Кемеровская ГРЭС</x:v>
      </x:c>
      <x:c r="B16" s="16" t="str">
        <x:v>2000557018-U311</x:v>
      </x:c>
      <x:c r="C16" s="16" t="str">
        <x:v>БЛОК ФБС 9.5.6-Т ГОСТ13579-2018</x:v>
      </x:c>
      <x:c r="D16" s="16" t="str">
        <x:v>Железобетонные изделия</x:v>
      </x:c>
      <x:c r="E16" s="16" t="str">
        <x:v>ШТ</x:v>
      </x:c>
      <x:c r="F16" s="21" t="n">
        <x:v>7</x:v>
      </x:c>
      <x:c r="G16" s="17" t="n">
        <x:v>1101.4281999999998</x:v>
      </x:c>
      <x:c r="H16" s="17" t="n">
        <x:f>G16*F16</x:f>
        <x:v>7709.997399999998</x:v>
      </x:c>
      <x:c r="I16" s="22" t="str">
        <x:f>HYPERLINK("https://etp-aktiv.ru/catalog/materialy/stroitelnye-materialy/2000557018-U311/","Открыть позицию")</x:f>
        <x:v>Открыть позицию</x:v>
      </x:c>
    </x:row>
    <x:row r="17" ht="28" customHeight="1">
      <x:c r="A17" s="16" t="str">
        <x:v>Кемеровская ГРЭС</x:v>
      </x:c>
      <x:c r="B17" s="16" t="str">
        <x:v>2000551321-U311</x:v>
      </x:c>
      <x:c r="C17" s="16" t="str">
        <x:v>ПИССУАР SANTEK ГАЛА</x:v>
      </x:c>
      <x:c r="D17" s="16" t="str">
        <x:v>Строительные материалы прочие</x:v>
      </x:c>
      <x:c r="E17" s="16" t="str">
        <x:v>ШТ</x:v>
      </x:c>
      <x:c r="F17" s="21" t="n">
        <x:v>1</x:v>
      </x:c>
      <x:c r="G17" s="17" t="n">
        <x:v>374.3204</x:v>
      </x:c>
      <x:c r="H17" s="17" t="n">
        <x:f>G17*F17</x:f>
        <x:v>374.3204</x:v>
      </x:c>
      <x:c r="I17" s="22" t="str">
        <x:f>HYPERLINK("https://etp-aktiv.ru/catalog/materialy/stroitelnye-materialy/2000551321-U311/","Открыть позицию")</x:f>
        <x:v>Открыть позицию</x:v>
      </x:c>
    </x:row>
    <x:row r="18" ht="28" customHeight="1">
      <x:c r="A18" s="16" t="str">
        <x:v>Кемеровская ГРЭС</x:v>
      </x:c>
      <x:c r="B18" s="16" t="str">
        <x:v>2000551323-U311</x:v>
      </x:c>
      <x:c r="C18" s="16" t="str">
        <x:v>РАКОВИНА B212 БЕЖЕВЫЙ</x:v>
      </x:c>
      <x:c r="D18" s="16" t="str">
        <x:v>Строительные материалы прочие</x:v>
      </x:c>
      <x:c r="E18" s="16" t="str">
        <x:v>ШТ</x:v>
      </x:c>
      <x:c r="F18" s="21" t="n">
        <x:v>1</x:v>
      </x:c>
      <x:c r="G18" s="17" t="n">
        <x:v>360.2172</x:v>
      </x:c>
      <x:c r="H18" s="17" t="n">
        <x:f>G18*F18</x:f>
        <x:v>360.2172</x:v>
      </x:c>
      <x:c r="I18" s="22" t="str">
        <x:f>HYPERLINK("https://etp-aktiv.ru/catalog/materialy/stroitelnye-materialy/2000551323-U311/","Открыть позицию")</x:f>
        <x:v>Открыть позицию</x:v>
      </x:c>
    </x:row>
    <x:row r="19" ht="28" customHeight="1">
      <x:c r="A19" s="16" t="str">
        <x:v>Кемеровская ТЭЦ</x:v>
      </x:c>
      <x:c r="B19" s="16" t="str">
        <x:v>2000150218-U312</x:v>
      </x:c>
      <x:c r="C19" s="16" t="str">
        <x:v>БЕЛЬТИНГ-ФИЛЬТР БФ-БД 80-140СМ 2030</x:v>
      </x:c>
      <x:c r="D19" s="16" t="str">
        <x:v>Строительные материалы прочие</x:v>
      </x:c>
      <x:c r="E19" s="16" t="str">
        <x:v>М</x:v>
      </x:c>
      <x:c r="F19" s="30" t="n">
        <x:v>0.5</x:v>
      </x:c>
      <x:c r="G19" s="17" t="n">
        <x:v>445.99539999999996</x:v>
      </x:c>
      <x:c r="H19" s="17" t="n">
        <x:f>G19*F19</x:f>
        <x:v>222.99769999999998</x:v>
      </x:c>
      <x:c r="I19" s="22" t="str">
        <x:f>HYPERLINK("https://etp-aktiv.ru/catalog/materialy/stroitelnye-materialy/2000150218-U312/","Открыть позицию")</x:f>
        <x:v>Открыть позицию</x:v>
      </x:c>
    </x:row>
    <x:row r="20" ht="28" customHeight="1">
      <x:c r="A20" s="16" t="str">
        <x:v>Кемеровская ТЭЦ</x:v>
      </x:c>
      <x:c r="B20" s="16" t="str">
        <x:v>2000550733-U312</x:v>
      </x:c>
      <x:c r="C20" s="16" t="str">
        <x:v>МЕЛ КОМОВЫЙ МК1</x:v>
      </x:c>
      <x:c r="D20" s="16" t="str">
        <x:v>Строительные материалы прочие</x:v>
      </x:c>
      <x:c r="E20" s="16" t="str">
        <x:v>КГ</x:v>
      </x:c>
      <x:c r="F20" s="29" t="n">
        <x:v>2.8</x:v>
      </x:c>
      <x:c r="G20" s="17" t="n">
        <x:v>60.67059999999999</x:v>
      </x:c>
      <x:c r="H20" s="17" t="n">
        <x:f>G20*F20</x:f>
        <x:v>169.87767999999997</x:v>
      </x:c>
      <x:c r="I20" s="22" t="str">
        <x:f>HYPERLINK("https://etp-aktiv.ru/catalog/materialy/stroitelnye-materialy/2000550733-U312/","Открыть позицию")</x:f>
        <x:v>Открыть позицию</x:v>
      </x:c>
    </x:row>
    <x:row r="21" ht="28" customHeight="1">
      <x:c r="A21" s="16" t="str">
        <x:v>Кемеровская ТЭЦ</x:v>
      </x:c>
      <x:c r="B21" s="16" t="str">
        <x:v>2000561939-U312</x:v>
      </x:c>
      <x:c r="C21" s="16" t="str">
        <x:v>НАЛИЧНИК ПЛОСКИЙ 70*2150 ПВХ ДУБ КОНЬЯК</x:v>
      </x:c>
      <x:c r="D21" s="16" t="str">
        <x:v>Строительные материалы прочие</x:v>
      </x:c>
      <x:c r="E21" s="16" t="str">
        <x:v>ШТ</x:v>
      </x:c>
      <x:c r="F21" s="21" t="n">
        <x:v>5</x:v>
      </x:c>
      <x:c r="G21" s="17" t="n">
        <x:v>107.05499999999999</x:v>
      </x:c>
      <x:c r="H21" s="17" t="n">
        <x:f>G21*F21</x:f>
        <x:v>535.275</x:v>
      </x:c>
      <x:c r="I21" s="22" t="str">
        <x:f>HYPERLINK("https://etp-aktiv.ru/catalog/materialy/stroitelnye-materialy/2000561939-U312/","Открыть позицию")</x:f>
        <x:v>Открыть позицию</x:v>
      </x:c>
    </x:row>
    <x:row r="22" ht="28" customHeight="1">
      <x:c r="A22" s="16" t="str">
        <x:v>Кемеровская ТЭЦ</x:v>
      </x:c>
      <x:c r="B22" s="16" t="str">
        <x:v>2000086647-U312</x:v>
      </x:c>
      <x:c r="C22" s="16" t="str">
        <x:v>СМЕСИТЕЛЬ Д/УМЫВАЛЬНИКА ВИТ</x:v>
      </x:c>
      <x:c r="D22" s="16" t="str">
        <x:v>Строительные материалы прочие</x:v>
      </x:c>
      <x:c r="E22" s="16" t="str">
        <x:v>ШТ</x:v>
      </x:c>
      <x:c r="F22" s="21" t="n">
        <x:v>11</x:v>
      </x:c>
      <x:c r="G22" s="17" t="n">
        <x:v>1399.9987999999998</x:v>
      </x:c>
      <x:c r="H22" s="17" t="n">
        <x:f>G22*F22</x:f>
        <x:v>15399.986799999999</x:v>
      </x:c>
      <x:c r="I22" s="22" t="str">
        <x:f>HYPERLINK("https://etp-aktiv.ru/catalog/materialy/stroitelnye-materialy/2000086647-U312/","Открыть позицию")</x:f>
        <x:v>Открыть позицию</x:v>
      </x:c>
    </x:row>
    <x:row r="23" ht="28" customHeight="1">
      <x:c r="A23" s="16" t="str">
        <x:v>Кемеровская теплосетевая компания</x:v>
      </x:c>
      <x:c r="B23" s="16" t="str">
        <x:v>2000377608-U121</x:v>
      </x:c>
      <x:c r="C23" s="16" t="str">
        <x:v>АНКЕР КЛИНОВОЙ SR 10*120</x:v>
      </x:c>
      <x:c r="D23" s="16" t="str">
        <x:v>Строительные материалы прочие</x:v>
      </x:c>
      <x:c r="E23" s="16" t="str">
        <x:v>ШТ</x:v>
      </x:c>
      <x:c r="F23" s="21" t="n">
        <x:v>42</x:v>
      </x:c>
      <x:c r="G23" s="17" t="n">
        <x:v>45.75</x:v>
      </x:c>
      <x:c r="H23" s="17" t="n">
        <x:f>G23*F23</x:f>
        <x:v>1921.5</x:v>
      </x:c>
      <x:c r="I23" s="22" t="str">
        <x:f>HYPERLINK("https://etp-aktiv.ru/catalog/materialy/stroitelnye-materialy/2000377608-U121/","Открыть позицию")</x:f>
        <x:v>Открыть позицию</x:v>
      </x:c>
    </x:row>
    <x:row r="24" ht="28" customHeight="1">
      <x:c r="A24" s="16" t="str">
        <x:v>Кемеровская теплосетевая компания</x:v>
      </x:c>
      <x:c r="B24" s="16" t="str">
        <x:v>2000581698-U121</x:v>
      </x:c>
      <x:c r="C24" s="16" t="str">
        <x:v>АНКЕР-ГИЛЬЗА HLC HILTI 385829 12*100/60</x:v>
      </x:c>
      <x:c r="D24" s="16" t="str">
        <x:v>Строительные материалы прочие</x:v>
      </x:c>
      <x:c r="E24" s="16" t="str">
        <x:v>КГ</x:v>
      </x:c>
      <x:c r="F24" s="29" t="n">
        <x:v>1.109</x:v>
      </x:c>
      <x:c r="G24" s="17" t="n">
        <x:v>205.9726</x:v>
      </x:c>
      <x:c r="H24" s="17" t="n">
        <x:f>G24*F24</x:f>
        <x:v>228.4236134</x:v>
      </x:c>
      <x:c r="I24" s="22" t="str">
        <x:f>HYPERLINK("https://etp-aktiv.ru/catalog/materialy/stroitelnye-materialy/2000581698-U121/","Открыть позицию")</x:f>
        <x:v>Открыть позицию</x:v>
      </x:c>
    </x:row>
    <x:row r="25" ht="28" customHeight="1">
      <x:c r="A25" s="16" t="str">
        <x:v>Кемеровская теплосетевая компания</x:v>
      </x:c>
      <x:c r="B25" s="16" t="str">
        <x:v>2000581696-U121</x:v>
      </x:c>
      <x:c r="C25" s="16" t="str">
        <x:v>АНКЕР-ГИЛЬЗА HLC HILTI 385832 16*140/90</x:v>
      </x:c>
      <x:c r="D25" s="16" t="str">
        <x:v>Строительные материалы прочие</x:v>
      </x:c>
      <x:c r="E25" s="16" t="str">
        <x:v>КГ</x:v>
      </x:c>
      <x:c r="F25" s="29" t="n">
        <x:v>1.518</x:v>
      </x:c>
      <x:c r="G25" s="17" t="n">
        <x:v>1604.3488</x:v>
      </x:c>
      <x:c r="H25" s="17" t="n">
        <x:f>G25*F25</x:f>
        <x:v>2435.4014784</x:v>
      </x:c>
      <x:c r="I25" s="22" t="str">
        <x:f>HYPERLINK("https://etp-aktiv.ru/catalog/materialy/stroitelnye-materialy/2000581696-U121/","Открыть позицию")</x:f>
        <x:v>Открыть позицию</x:v>
      </x:c>
    </x:row>
    <x:row r="26" ht="28" customHeight="1">
      <x:c r="A26" s="16" t="str">
        <x:v>Кемеровская теплосетевая компания</x:v>
      </x:c>
      <x:c r="B26" s="16" t="str">
        <x:v>2000529799-U121</x:v>
      </x:c>
      <x:c r="C26" s="16" t="str">
        <x:v>АНКЕР-ШПИЛЬКА HST 16/М16*140/25 371593</x:v>
      </x:c>
      <x:c r="D26" s="16" t="str">
        <x:v>Строительные материалы прочие</x:v>
      </x:c>
      <x:c r="E26" s="16" t="str">
        <x:v>КГ</x:v>
      </x:c>
      <x:c r="F26" s="29" t="n">
        <x:v>13.45</x:v>
      </x:c>
      <x:c r="G26" s="17" t="n">
        <x:v>376.9678</x:v>
      </x:c>
      <x:c r="H26" s="17" t="n">
        <x:f>G26*F26</x:f>
        <x:v>5070.21691</x:v>
      </x:c>
      <x:c r="I26" s="22" t="str">
        <x:f>HYPERLINK("https://etp-aktiv.ru/catalog/materialy/stroitelnye-materialy/2000529799-U121/","Открыть позицию")</x:f>
        <x:v>Открыть позицию</x:v>
      </x:c>
    </x:row>
    <x:row r="27" ht="28" customHeight="1">
      <x:c r="A27" s="16" t="str">
        <x:v>Кемеровская теплосетевая компания</x:v>
      </x:c>
      <x:c r="B27" s="16" t="str">
        <x:v>2000556994-U121</x:v>
      </x:c>
      <x:c r="C27" s="16" t="str">
        <x:v>БАЛКА Б3 С.3.006.1-2.87.6-20</x:v>
      </x:c>
      <x:c r="D27" s="16" t="str">
        <x:v>Железобетонные изделия</x:v>
      </x:c>
      <x:c r="E27" s="16" t="str">
        <x:v>ШТ</x:v>
      </x:c>
      <x:c r="F27" s="21" t="n">
        <x:v>21</x:v>
      </x:c>
      <x:c r="G27" s="17" t="n">
        <x:v>3702.9439999999995</x:v>
      </x:c>
      <x:c r="H27" s="17" t="n">
        <x:f>G27*F27</x:f>
        <x:v>77761.824</x:v>
      </x:c>
      <x:c r="I27" s="22" t="str">
        <x:f>HYPERLINK("https://etp-aktiv.ru/catalog/materialy/stroitelnye-materialy/2000556994-U121/","Открыть позицию")</x:f>
        <x:v>Открыть позицию</x:v>
      </x:c>
    </x:row>
    <x:row r="28" ht="28" customHeight="1">
      <x:c r="A28" s="16" t="str">
        <x:v>Кемеровская теплосетевая компания</x:v>
      </x:c>
      <x:c r="B28" s="16" t="str">
        <x:v>2000556995-U121</x:v>
      </x:c>
      <x:c r="C28" s="16" t="str">
        <x:v>БАЛКА Б3 С.3.006.1-8 В.1-2</x:v>
      </x:c>
      <x:c r="D28" s="16" t="str">
        <x:v>Железобетонные изделия</x:v>
      </x:c>
      <x:c r="E28" s="16" t="str">
        <x:v>ШТ</x:v>
      </x:c>
      <x:c r="F28" s="21" t="n">
        <x:v>1</x:v>
      </x:c>
      <x:c r="G28" s="17" t="n">
        <x:v>3667.625</x:v>
      </x:c>
      <x:c r="H28" s="17" t="n">
        <x:f>G28*F28</x:f>
        <x:v>3667.625</x:v>
      </x:c>
      <x:c r="I28" s="22" t="str">
        <x:f>HYPERLINK("https://etp-aktiv.ru/catalog/materialy/stroitelnye-materialy/2000556995-U121/","Открыть позицию")</x:f>
        <x:v>Открыть позицию</x:v>
      </x:c>
    </x:row>
    <x:row r="29" ht="28" customHeight="1">
      <x:c r="A29" s="16" t="str">
        <x:v>Кемеровская теплосетевая компания</x:v>
      </x:c>
      <x:c r="B29" s="16" t="str">
        <x:v>2000557000-U121</x:v>
      </x:c>
      <x:c r="C29" s="16" t="str">
        <x:v>БАЛКА Б7 С.3.006.1-2.87.6-21</x:v>
      </x:c>
      <x:c r="D29" s="16" t="str">
        <x:v>Железобетонные изделия</x:v>
      </x:c>
      <x:c r="E29" s="16" t="str">
        <x:v>ШТ</x:v>
      </x:c>
      <x:c r="F29" s="21" t="n">
        <x:v>1</x:v>
      </x:c>
      <x:c r="G29" s="17" t="n">
        <x:v>22501.375</x:v>
      </x:c>
      <x:c r="H29" s="17" t="n">
        <x:f>G29*F29</x:f>
        <x:v>22501.375</x:v>
      </x:c>
      <x:c r="I29" s="22" t="str">
        <x:f>HYPERLINK("https://etp-aktiv.ru/catalog/materialy/stroitelnye-materialy/2000557000-U121/","Открыть позицию")</x:f>
        <x:v>Открыть позицию</x:v>
      </x:c>
    </x:row>
    <x:row r="30" ht="28" customHeight="1">
      <x:c r="A30" s="16" t="str">
        <x:v>Кемеровская теплосетевая компания</x:v>
      </x:c>
      <x:c r="B30" s="16" t="str">
        <x:v>2000158788-U121</x:v>
      </x:c>
      <x:c r="C30" s="16" t="str">
        <x:v>БАЛКА Ж/Б Б-1 С.3.006.1-2/87</x:v>
      </x:c>
      <x:c r="D30" s="16" t="str">
        <x:v>Железобетонные изделия</x:v>
      </x:c>
      <x:c r="E30" s="16" t="str">
        <x:v>ШТ</x:v>
      </x:c>
      <x:c r="F30" s="21" t="n">
        <x:v>8</x:v>
      </x:c>
      <x:c r="G30" s="17" t="n">
        <x:v>1692.1399999999999</x:v>
      </x:c>
      <x:c r="H30" s="17" t="n">
        <x:f>G30*F30</x:f>
        <x:v>13537.119999999999</x:v>
      </x:c>
      <x:c r="I30" s="22" t="str">
        <x:f>HYPERLINK("https://etp-aktiv.ru/catalog/materialy/stroitelnye-materialy/2000158788-U121/","Открыть позицию")</x:f>
        <x:v>Открыть позицию</x:v>
      </x:c>
    </x:row>
    <x:row r="31" ht="28" customHeight="1">
      <x:c r="A31" s="16" t="str">
        <x:v>Кемеровская теплосетевая компания</x:v>
      </x:c>
      <x:c r="B31" s="16" t="str">
        <x:v>2000557009-U121</x:v>
      </x:c>
      <x:c r="C31" s="16" t="str">
        <x:v>БЛОК ФБС 12.3.6-Т ГОСТ13579-2018</x:v>
      </x:c>
      <x:c r="D31" s="16" t="str">
        <x:v>Железобетонные изделия</x:v>
      </x:c>
      <x:c r="E31" s="16" t="str">
        <x:v>ШТ</x:v>
      </x:c>
      <x:c r="F31" s="21" t="n">
        <x:v>9</x:v>
      </x:c>
      <x:c r="G31" s="17" t="n">
        <x:v>485.4502</x:v>
      </x:c>
      <x:c r="H31" s="17" t="n">
        <x:f>G31*F31</x:f>
        <x:v>4369.0518</x:v>
      </x:c>
      <x:c r="I31" s="22" t="str">
        <x:f>HYPERLINK("https://etp-aktiv.ru/catalog/materialy/stroitelnye-materialy/2000557009-U121/","Открыть позицию")</x:f>
        <x:v>Открыть позицию</x:v>
      </x:c>
    </x:row>
    <x:row r="32" ht="28" customHeight="1">
      <x:c r="A32" s="16" t="str">
        <x:v>Кемеровская теплосетевая компания</x:v>
      </x:c>
      <x:c r="B32" s="16" t="str">
        <x:v>2000882344-U121</x:v>
      </x:c>
      <x:c r="C32" s="16" t="str">
        <x:v>БЛОК ФБС 6.4.6-Т ГОСТ13579-2018</x:v>
      </x:c>
      <x:c r="D32" s="16" t="str">
        <x:v>Железобетонные изделия</x:v>
      </x:c>
      <x:c r="E32" s="16" t="str">
        <x:v>ШТ</x:v>
      </x:c>
      <x:c r="F32" s="21" t="n">
        <x:v>6</x:v>
      </x:c>
      <x:c r="G32" s="17" t="n">
        <x:v>1403</x:v>
      </x:c>
      <x:c r="H32" s="17" t="n">
        <x:f>G32*F32</x:f>
        <x:v>8418</x:v>
      </x:c>
      <x:c r="I32" s="22" t="str">
        <x:f>HYPERLINK("https://etp-aktiv.ru/catalog/materialy/stroitelnye-materialy/2000882344-U121/","Открыть позицию")</x:f>
        <x:v>Открыть позицию</x:v>
      </x:c>
    </x:row>
    <x:row r="33" ht="28" customHeight="1">
      <x:c r="A33" s="16" t="str">
        <x:v>Кемеровская теплосетевая компания</x:v>
      </x:c>
      <x:c r="B33" s="16" t="str">
        <x:v>2000629985-U121</x:v>
      </x:c>
      <x:c r="C33" s="16" t="str">
        <x:v>БОЛТ АНКЕРНЫЙ С КРЮКОМ 26644 М8*40</x:v>
      </x:c>
      <x:c r="D33" s="16" t="str">
        <x:v>Строительные материалы прочие</x:v>
      </x:c>
      <x:c r="E33" s="16" t="str">
        <x:v>ШТ</x:v>
      </x:c>
      <x:c r="F33" s="21" t="n">
        <x:v>50</x:v>
      </x:c>
      <x:c r="G33" s="17" t="n">
        <x:v>18.4098</x:v>
      </x:c>
      <x:c r="H33" s="17" t="n">
        <x:f>G33*F33</x:f>
        <x:v>920.49</x:v>
      </x:c>
      <x:c r="I33" s="22" t="str">
        <x:f>HYPERLINK("https://etp-aktiv.ru/catalog/materialy/stroitelnye-materialy/2000629985-U121/","Открыть позицию")</x:f>
        <x:v>Открыть позицию</x:v>
      </x:c>
    </x:row>
    <x:row r="34" ht="28" customHeight="1">
      <x:c r="A34" s="16" t="str">
        <x:v>Кемеровская теплосетевая компания</x:v>
      </x:c>
      <x:c r="B34" s="16" t="str">
        <x:v>2000551457-U121</x:v>
      </x:c>
      <x:c r="C34" s="16" t="str">
        <x:v>ВИНТ САМОНАРЕЗАЮЩИЙ ШСГД 3,5*51</x:v>
      </x:c>
      <x:c r="D34" s="16" t="str">
        <x:v>Строительные материалы прочие</x:v>
      </x:c>
      <x:c r="E34" s="16" t="str">
        <x:v>ШТ</x:v>
      </x:c>
      <x:c r="F34" s="21" t="n">
        <x:v>450</x:v>
      </x:c>
      <x:c r="G34" s="17" t="n">
        <x:v>0.427</x:v>
      </x:c>
      <x:c r="H34" s="17" t="n">
        <x:f>G34*F34</x:f>
        <x:v>192.15</x:v>
      </x:c>
      <x:c r="I34" s="22" t="str">
        <x:f>HYPERLINK("https://etp-aktiv.ru/catalog/materialy/stroitelnye-materialy/2000551457-U121/","Открыть позицию")</x:f>
        <x:v>Открыть позицию</x:v>
      </x:c>
    </x:row>
    <x:row r="35" ht="28" customHeight="1">
      <x:c r="A35" s="16" t="str">
        <x:v>Кемеровская теплосетевая компания</x:v>
      </x:c>
      <x:c r="B35" s="16" t="str">
        <x:v>2000478310-U121</x:v>
      </x:c>
      <x:c r="C35" s="16" t="str">
        <x:v>ГЕНЕРАТОР 14V Г9695.3701-1</x:v>
      </x:c>
      <x:c r="D35" s="16" t="str">
        <x:v>Запасные части к дорожно-строительной технике менее 20тн</x:v>
      </x:c>
      <x:c r="E35" s="16" t="str">
        <x:v>ШТ</x:v>
      </x:c>
      <x:c r="F35" s="21" t="n">
        <x:v>1</x:v>
      </x:c>
      <x:c r="G35" s="17" t="n">
        <x:v>4920.9676</x:v>
      </x:c>
      <x:c r="H35" s="17" t="n">
        <x:f>G35*F35</x:f>
        <x:v>4920.9676</x:v>
      </x:c>
      <x:c r="I35" s="22" t="str">
        <x:f>HYPERLINK("https://etp-aktiv.ru/catalog/materialy/zapasnye-chasti-k-dorozhno-stroitelnoj-tekhnike/2000478310-U121/","Открыть позицию")</x:f>
        <x:v>Открыть позицию</x:v>
      </x:c>
    </x:row>
    <x:row r="36" ht="28" customHeight="1">
      <x:c r="A36" s="16" t="str">
        <x:v>Кемеровская теплосетевая компания</x:v>
      </x:c>
      <x:c r="B36" s="16" t="str">
        <x:v>2000523865-U121</x:v>
      </x:c>
      <x:c r="C36" s="16" t="str">
        <x:v>ГЕНЕРАТОР 9985.3701-1</x:v>
      </x:c>
      <x:c r="D36" s="16" t="str">
        <x:v>Запасные части к дорожно-строительной технике менее 20тн</x:v>
      </x:c>
      <x:c r="E36" s="16" t="str">
        <x:v>ШТ</x:v>
      </x:c>
      <x:c r="F36" s="21" t="n">
        <x:v>1</x:v>
      </x:c>
      <x:c r="G36" s="17" t="n">
        <x:v>6100</x:v>
      </x:c>
      <x:c r="H36" s="17" t="n">
        <x:f>G36*F36</x:f>
        <x:v>6100</x:v>
      </x:c>
      <x:c r="I36" s="22" t="str">
        <x:f>HYPERLINK("https://etp-aktiv.ru/catalog/materialy/zapasnye-chasti-k-dorozhno-stroitelnoj-tekhnike/2000523865-U121/","Открыть позицию")</x:f>
        <x:v>Открыть позицию</x:v>
      </x:c>
    </x:row>
    <x:row r="37" ht="28" customHeight="1">
      <x:c r="A37" s="16" t="str">
        <x:v>Кемеровская теплосетевая компания</x:v>
      </x:c>
      <x:c r="B37" s="16" t="str">
        <x:v>2000550613-U121</x:v>
      </x:c>
      <x:c r="C37" s="16" t="str">
        <x:v>ГЕРМЕТИК ПРОТИВОПОЖАРНЫЙ CP 606 310МЛ</x:v>
      </x:c>
      <x:c r="D37" s="16" t="str">
        <x:v>Строительные материалы прочие</x:v>
      </x:c>
      <x:c r="E37" s="16" t="str">
        <x:v>ШТ</x:v>
      </x:c>
      <x:c r="F37" s="21" t="n">
        <x:v>2</x:v>
      </x:c>
      <x:c r="G37" s="17" t="n">
        <x:v>1150.0086</x:v>
      </x:c>
      <x:c r="H37" s="17" t="n">
        <x:f>G37*F37</x:f>
        <x:v>2300.0172</x:v>
      </x:c>
      <x:c r="I37" s="22" t="str">
        <x:f>HYPERLINK("https://etp-aktiv.ru/catalog/materialy/stroitelnye-materialy/2000550613-U121/","Открыть позицию")</x:f>
        <x:v>Открыть позицию</x:v>
      </x:c>
    </x:row>
    <x:row r="38" ht="28" customHeight="1">
      <x:c r="A38" s="16" t="str">
        <x:v>Кемеровская теплосетевая компания</x:v>
      </x:c>
      <x:c r="B38" s="16" t="str">
        <x:v>2000785120-U121</x:v>
      </x:c>
      <x:c r="C38" s="16" t="str">
        <x:v>ГЕРМЕТИК СИЛИКОНОВЫЙ HAUSER UNI 260МЛ</x:v>
      </x:c>
      <x:c r="D38" s="16" t="str">
        <x:v>Строительные материалы прочие</x:v>
      </x:c>
      <x:c r="E38" s="16" t="str">
        <x:v>ШТ</x:v>
      </x:c>
      <x:c r="F38" s="21" t="n">
        <x:v>1</x:v>
      </x:c>
      <x:c r="G38" s="17" t="n">
        <x:v>212.7436</x:v>
      </x:c>
      <x:c r="H38" s="17" t="n">
        <x:f>G38*F38</x:f>
        <x:v>212.7436</x:v>
      </x:c>
      <x:c r="I38" s="22" t="str">
        <x:f>HYPERLINK("https://etp-aktiv.ru/catalog/materialy/stroitelnye-materialy/2000785120-U121/","Открыть позицию")</x:f>
        <x:v>Открыть позицию</x:v>
      </x:c>
    </x:row>
    <x:row r="39" ht="28" customHeight="1">
      <x:c r="A39" s="16" t="str">
        <x:v>Кемеровская теплосетевая компания</x:v>
      </x:c>
      <x:c r="B39" s="16" t="str">
        <x:v>2000022568-U121</x:v>
      </x:c>
      <x:c r="C39" s="16" t="str">
        <x:v>ГЕРМЕТИК УНИВЕРСАЛЬНЫЙ СИЛИКОН. МОМЕНТ</x:v>
      </x:c>
      <x:c r="D39" s="16" t="str">
        <x:v>Строительные материалы прочие</x:v>
      </x:c>
      <x:c r="E39" s="16" t="str">
        <x:v>ШТ</x:v>
      </x:c>
      <x:c r="F39" s="21" t="n">
        <x:v>1</x:v>
      </x:c>
      <x:c r="G39" s="17" t="n">
        <x:v>230.0066</x:v>
      </x:c>
      <x:c r="H39" s="17" t="n">
        <x:f>G39*F39</x:f>
        <x:v>230.0066</x:v>
      </x:c>
      <x:c r="I39" s="22" t="str">
        <x:f>HYPERLINK("https://etp-aktiv.ru/catalog/materialy/stroitelnye-materialy/2000022568-U121/","Открыть позицию")</x:f>
        <x:v>Открыть позицию</x:v>
      </x:c>
    </x:row>
    <x:row r="40" ht="28" customHeight="1">
      <x:c r="A40" s="16" t="str">
        <x:v>Кемеровская теплосетевая компания</x:v>
      </x:c>
      <x:c r="B40" s="16" t="str">
        <x:v>2000487075-U121</x:v>
      </x:c>
      <x:c r="C40" s="16" t="str">
        <x:v>ДВЕРЬ АЛЮМИНИЕВАЯ КП45 800*2000</x:v>
      </x:c>
      <x:c r="D40" s="16" t="str">
        <x:v>Строительные материалы прочие специализированные и под заказ</x:v>
      </x:c>
      <x:c r="E40" s="16" t="str">
        <x:v>ШТ</x:v>
      </x:c>
      <x:c r="F40" s="21" t="n">
        <x:v>2</x:v>
      </x:c>
      <x:c r="G40" s="17" t="n">
        <x:v>40717.5</x:v>
      </x:c>
      <x:c r="H40" s="17" t="n">
        <x:f>G40*F40</x:f>
        <x:v>81435</x:v>
      </x:c>
      <x:c r="I40" s="22" t="str">
        <x:f>HYPERLINK("https://etp-aktiv.ru/catalog/materialy/stroitelnye-materialy/2000487075-U121/","Открыть позицию")</x:f>
        <x:v>Открыть позицию</x:v>
      </x:c>
    </x:row>
    <x:row r="41" ht="28" customHeight="1">
      <x:c r="A41" s="16" t="str">
        <x:v>Кемеровская теплосетевая компания</x:v>
      </x:c>
      <x:c r="B41" s="16" t="str">
        <x:v>2000292824-U121</x:v>
      </x:c>
      <x:c r="C41" s="16" t="str">
        <x:v>ДВЕРЬ ВХОД МЕТАЛЛ ПРАВ МЕДВЕДЬ 2080*960</x:v>
      </x:c>
      <x:c r="D41" s="16" t="str">
        <x:v>Строительные материалы прочие специализированные и под заказ</x:v>
      </x:c>
      <x:c r="E41" s="16" t="str">
        <x:v>ШТ</x:v>
      </x:c>
      <x:c r="F41" s="21" t="n">
        <x:v>1</x:v>
      </x:c>
      <x:c r="G41" s="17" t="n">
        <x:v>63135</x:v>
      </x:c>
      <x:c r="H41" s="17" t="n">
        <x:f>G41*F41</x:f>
        <x:v>63135</x:v>
      </x:c>
      <x:c r="I41" s="22" t="str">
        <x:f>HYPERLINK("https://etp-aktiv.ru/catalog/materialy/stroitelnye-materialy/2000292824-U121/","Открыть позицию")</x:f>
        <x:v>Открыть позицию</x:v>
      </x:c>
    </x:row>
    <x:row r="42" ht="28" customHeight="1">
      <x:c r="A42" s="16" t="str">
        <x:v>Кемеровская теплосетевая компания</x:v>
      </x:c>
      <x:c r="B42" s="16" t="str">
        <x:v>2000650057-U121</x:v>
      </x:c>
      <x:c r="C42" s="16" t="str">
        <x:v>ДЮБЕЛЬ ФАСАД R-FF1-N-10K100/DT8.8 10*100</x:v>
      </x:c>
      <x:c r="D42" s="16" t="str">
        <x:v>Строительные материалы прочие</x:v>
      </x:c>
      <x:c r="E42" s="16" t="str">
        <x:v>ШТ</x:v>
      </x:c>
      <x:c r="F42" s="21" t="n">
        <x:v>23</x:v>
      </x:c>
      <x:c r="G42" s="17" t="n">
        <x:v>49.763799999999996</x:v>
      </x:c>
      <x:c r="H42" s="17" t="n">
        <x:f>G42*F42</x:f>
        <x:v>1144.5674</x:v>
      </x:c>
      <x:c r="I42" s="22" t="str">
        <x:f>HYPERLINK("https://etp-aktiv.ru/catalog/materialy/stroitelnye-materialy/2000650057-U121/","Открыть позицию")</x:f>
        <x:v>Открыть позицию</x:v>
      </x:c>
    </x:row>
    <x:row r="43" ht="28" customHeight="1">
      <x:c r="A43" s="16" t="str">
        <x:v>Кемеровская теплосетевая компания</x:v>
      </x:c>
      <x:c r="B43" s="16" t="str">
        <x:v>2000218084-U121</x:v>
      </x:c>
      <x:c r="C43" s="16" t="str">
        <x:v>ЗАГЛУШКА ПЛИНТУСА TPLAST ПВХ ЛЕВАЯ БУК</x:v>
      </x:c>
      <x:c r="D43" s="16" t="str">
        <x:v>Строительные материалы прочие</x:v>
      </x:c>
      <x:c r="E43" s="16" t="str">
        <x:v>ШТ</x:v>
      </x:c>
      <x:c r="F43" s="21" t="n">
        <x:v>6</x:v>
      </x:c>
      <x:c r="G43" s="17" t="n">
        <x:v>11.1996</x:v>
      </x:c>
      <x:c r="H43" s="17" t="n">
        <x:f>G43*F43</x:f>
        <x:v>67.1976</x:v>
      </x:c>
      <x:c r="I43" s="22" t="str">
        <x:f>HYPERLINK("https://etp-aktiv.ru/catalog/materialy/stroitelnye-materialy/2000218084-U121/","Открыть позицию")</x:f>
        <x:v>Открыть позицию</x:v>
      </x:c>
    </x:row>
    <x:row r="44" ht="28" customHeight="1">
      <x:c r="A44" s="16" t="str">
        <x:v>Кемеровская теплосетевая компания</x:v>
      </x:c>
      <x:c r="B44" s="16" t="str">
        <x:v>2000218085-U121</x:v>
      </x:c>
      <x:c r="C44" s="16" t="str">
        <x:v>ЗАГЛУШКА ПЛИНТУСА TPLAST ПВХ ПРАВ БУК</x:v>
      </x:c>
      <x:c r="D44" s="16" t="str">
        <x:v>Строительные материалы прочие</x:v>
      </x:c>
      <x:c r="E44" s="16" t="str">
        <x:v>ШТ</x:v>
      </x:c>
      <x:c r="F44" s="21" t="n">
        <x:v>6</x:v>
      </x:c>
      <x:c r="G44" s="17" t="n">
        <x:v>9.113399999999999</x:v>
      </x:c>
      <x:c r="H44" s="17" t="n">
        <x:f>G44*F44</x:f>
        <x:v>54.68039999999999</x:v>
      </x:c>
      <x:c r="I44" s="22" t="str">
        <x:f>HYPERLINK("https://etp-aktiv.ru/catalog/materialy/stroitelnye-materialy/2000218085-U121/","Открыть позицию")</x:f>
        <x:v>Открыть позицию</x:v>
      </x:c>
    </x:row>
    <x:row r="45" ht="28" customHeight="1">
      <x:c r="A45" s="16" t="str">
        <x:v>Кемеровская теплосетевая компания</x:v>
      </x:c>
      <x:c r="B45" s="16" t="str">
        <x:v>2000760746-U121</x:v>
      </x:c>
      <x:c r="C45" s="16" t="str">
        <x:v>ЗАМОК ДВЕРНОЙ ЗВ4-7.02С БРОНЗА С РУЧКОЙ</x:v>
      </x:c>
      <x:c r="D45" s="16" t="str">
        <x:v>Строительные материалы прочие</x:v>
      </x:c>
      <x:c r="E45" s="16" t="str">
        <x:v>ШТ</x:v>
      </x:c>
      <x:c r="F45" s="21" t="n">
        <x:v>3</x:v>
      </x:c>
      <x:c r="G45" s="17" t="n">
        <x:v>1399.9987999999998</x:v>
      </x:c>
      <x:c r="H45" s="17" t="n">
        <x:f>G45*F45</x:f>
        <x:v>4199.9964</x:v>
      </x:c>
      <x:c r="I45" s="22" t="str">
        <x:f>HYPERLINK("https://etp-aktiv.ru/catalog/materialy/stroitelnye-materialy/2000760746-U121/","Открыть позицию")</x:f>
        <x:v>Открыть позицию</x:v>
      </x:c>
    </x:row>
    <x:row r="46" ht="28" customHeight="1">
      <x:c r="A46" s="16" t="str">
        <x:v>Кемеровская теплосетевая компания</x:v>
      </x:c>
      <x:c r="B46" s="16" t="str">
        <x:v>2000168611-U121</x:v>
      </x:c>
      <x:c r="C46" s="16" t="str">
        <x:v>ЗЕМЛЯ ЧЕРНАЯ ГРУНТ</x:v>
      </x:c>
      <x:c r="D46" s="16" t="str">
        <x:v>Строительные материалы прочие</x:v>
      </x:c>
      <x:c r="E46" s="16" t="str">
        <x:v>Т</x:v>
      </x:c>
      <x:c r="F46" s="29" t="n">
        <x:v>24.6</x:v>
      </x:c>
      <x:c r="G46" s="17" t="n">
        <x:v>915</x:v>
      </x:c>
      <x:c r="H46" s="17" t="n">
        <x:f>G46*F46</x:f>
        <x:v>22509</x:v>
      </x:c>
      <x:c r="I46" s="22" t="str">
        <x:f>HYPERLINK("https://etp-aktiv.ru/catalog/materialy/stroitelnye-materialy/2000168611-U121/","Открыть позицию")</x:f>
        <x:v>Открыть позицию</x:v>
      </x:c>
    </x:row>
    <x:row r="47" ht="28" customHeight="1">
      <x:c r="A47" s="16" t="str">
        <x:v>Кемеровская теплосетевая компания</x:v>
      </x:c>
      <x:c r="B47" s="16" t="str">
        <x:v>2000550661-U121</x:v>
      </x:c>
      <x:c r="C47" s="16" t="str">
        <x:v>КАТАЛИЗАТОР МАСТИКИ ВЕКТОР</x:v>
      </x:c>
      <x:c r="D47" s="16" t="str">
        <x:v>Строительные материалы прочие специализированные и под заказ</x:v>
      </x:c>
      <x:c r="E47" s="16" t="str">
        <x:v>Л</x:v>
      </x:c>
      <x:c r="F47" s="29" t="n">
        <x:v>39.95</x:v>
      </x:c>
      <x:c r="G47" s="17" t="n">
        <x:v>411.2742</x:v>
      </x:c>
      <x:c r="H47" s="17" t="n">
        <x:f>G47*F47</x:f>
        <x:v>16430.404290000002</x:v>
      </x:c>
      <x:c r="I47" s="22" t="str">
        <x:f>HYPERLINK("https://etp-aktiv.ru/catalog/materialy/stroitelnye-materialy/2000550661-U121/","Открыть позицию")</x:f>
        <x:v>Открыть позицию</x:v>
      </x:c>
    </x:row>
    <x:row r="48" ht="28" customHeight="1">
      <x:c r="A48" s="16" t="str">
        <x:v>Кемеровская теплосетевая компания</x:v>
      </x:c>
      <x:c r="B48" s="16" t="str">
        <x:v>2000523975-U121</x:v>
      </x:c>
      <x:c r="C48" s="16" t="str">
        <x:v>КЛАПАН ЭЛЕКТРОМАГНИТНЫЙ ПР-2-3</x:v>
      </x:c>
      <x:c r="D48" s="16" t="str">
        <x:v>Запасные части к дорожно-строительной технике менее 20тн</x:v>
      </x:c>
      <x:c r="E48" s="16" t="str">
        <x:v>ШТ</x:v>
      </x:c>
      <x:c r="F48" s="21" t="n">
        <x:v>1</x:v>
      </x:c>
      <x:c r="G48" s="17" t="n">
        <x:v>5490</x:v>
      </x:c>
      <x:c r="H48" s="17" t="n">
        <x:f>G48*F48</x:f>
        <x:v>5490</x:v>
      </x:c>
      <x:c r="I48" s="22" t="str">
        <x:f>HYPERLINK("https://etp-aktiv.ru/catalog/materialy/zapasnye-chasti-k-dorozhno-stroitelnoj-tekhnike/2000523975-U121/","Открыть позицию")</x:f>
        <x:v>Открыть позицию</x:v>
      </x:c>
    </x:row>
    <x:row r="49" ht="28" customHeight="1">
      <x:c r="A49" s="16" t="str">
        <x:v>Кемеровская теплосетевая компания</x:v>
      </x:c>
      <x:c r="B49" s="16" t="str">
        <x:v>2000586092-U121</x:v>
      </x:c>
      <x:c r="C49" s="16" t="str">
        <x:v>КЛЕЙ TERMOKREPS PPS 25КГ Д/ПЕНОПОЛИСТИР</x:v>
      </x:c>
      <x:c r="D49" s="16" t="str">
        <x:v>Строительные материалы прочие</x:v>
      </x:c>
      <x:c r="E49" s="16" t="str">
        <x:v>ШТ</x:v>
      </x:c>
      <x:c r="F49" s="21" t="n">
        <x:v>10</x:v>
      </x:c>
      <x:c r="G49" s="17" t="n">
        <x:v>320.25</x:v>
      </x:c>
      <x:c r="H49" s="17" t="n">
        <x:f>G49*F49</x:f>
        <x:v>3202.5</x:v>
      </x:c>
      <x:c r="I49" s="22" t="str">
        <x:f>HYPERLINK("https://etp-aktiv.ru/catalog/materialy/stroitelnye-materialy/2000586092-U121/","Открыть позицию")</x:f>
        <x:v>Открыть позицию</x:v>
      </x:c>
    </x:row>
    <x:row r="50" ht="28" customHeight="1">
      <x:c r="A50" s="16" t="str">
        <x:v>Кемеровская теплосетевая компания</x:v>
      </x:c>
      <x:c r="B50" s="16" t="str">
        <x:v>2000503054-U121</x:v>
      </x:c>
      <x:c r="C50" s="16" t="str">
        <x:v>КМП МОНТАЖНЫЙ Б/КРОНШТ RIFAR 1/2</x:v>
      </x:c>
      <x:c r="D50" s="16" t="str">
        <x:v>Строительные материалы прочие</x:v>
      </x:c>
      <x:c r="E50" s="16" t="str">
        <x:v>ШТ</x:v>
      </x:c>
      <x:c r="F50" s="21" t="n">
        <x:v>3</x:v>
      </x:c>
      <x:c r="G50" s="17" t="n">
        <x:v>491.8186</x:v>
      </x:c>
      <x:c r="H50" s="17" t="n">
        <x:f>G50*F50</x:f>
        <x:v>1475.4558</x:v>
      </x:c>
      <x:c r="I50" s="22" t="str">
        <x:f>HYPERLINK("https://etp-aktiv.ru/catalog/materialy/stroitelnye-materialy/2000503054-U121/","Открыть позицию")</x:f>
        <x:v>Открыть позицию</x:v>
      </x:c>
    </x:row>
    <x:row r="51" ht="28" customHeight="1">
      <x:c r="A51" s="16" t="str">
        <x:v>Кемеровская теплосетевая компания</x:v>
      </x:c>
      <x:c r="B51" s="16" t="str">
        <x:v>2000503055-U121</x:v>
      </x:c>
      <x:c r="C51" s="16" t="str">
        <x:v>КМП МОНТАЖНЫЙ Б/КРОНШТ RIFAR 3/4</x:v>
      </x:c>
      <x:c r="D51" s="16" t="str">
        <x:v>Строительные материалы прочие</x:v>
      </x:c>
      <x:c r="E51" s="16" t="str">
        <x:v>ШТ</x:v>
      </x:c>
      <x:c r="F51" s="21" t="n">
        <x:v>2</x:v>
      </x:c>
      <x:c r="G51" s="17" t="n">
        <x:v>226.0782</x:v>
      </x:c>
      <x:c r="H51" s="17" t="n">
        <x:f>G51*F51</x:f>
        <x:v>452.1564</x:v>
      </x:c>
      <x:c r="I51" s="22" t="str">
        <x:f>HYPERLINK("https://etp-aktiv.ru/catalog/materialy/stroitelnye-materialy/2000503055-U121/","Открыть позицию")</x:f>
        <x:v>Открыть позицию</x:v>
      </x:c>
    </x:row>
    <x:row r="52" ht="28" customHeight="1">
      <x:c r="A52" s="16" t="str">
        <x:v>Кемеровская теплосетевая компания</x:v>
      </x:c>
      <x:c r="B52" s="16" t="str">
        <x:v>2000557031-U121</x:v>
      </x:c>
      <x:c r="C52" s="16" t="str">
        <x:v>КОЛЬЦО КС 7.9 С.3.900.1-14.1-3</x:v>
      </x:c>
      <x:c r="D52" s="16" t="str">
        <x:v>Железобетонные изделия</x:v>
      </x:c>
      <x:c r="E52" s="16" t="str">
        <x:v>ШТ</x:v>
      </x:c>
      <x:c r="F52" s="21" t="n">
        <x:v>14</x:v>
      </x:c>
      <x:c r="G52" s="17" t="n">
        <x:v>2083.0524</x:v>
      </x:c>
      <x:c r="H52" s="17" t="n">
        <x:f>G52*F52</x:f>
        <x:v>29162.7336</x:v>
      </x:c>
      <x:c r="I52" s="22" t="str">
        <x:f>HYPERLINK("https://etp-aktiv.ru/catalog/materialy/stroitelnye-materialy/2000557031-U121/","Открыть позицию")</x:f>
        <x:v>Открыть позицию</x:v>
      </x:c>
    </x:row>
    <x:row r="53" ht="28" customHeight="1">
      <x:c r="A53" s="16" t="str">
        <x:v>Кемеровская теплосетевая компания</x:v>
      </x:c>
      <x:c r="B53" s="16" t="str">
        <x:v>2000185167-U121</x:v>
      </x:c>
      <x:c r="C53" s="16" t="str">
        <x:v>КОЛЬЦО КС10-9 С.3.900.1-14.1</x:v>
      </x:c>
      <x:c r="D53" s="16" t="str">
        <x:v>Железобетонные изделия</x:v>
      </x:c>
      <x:c r="E53" s="16" t="str">
        <x:v>ШТ</x:v>
      </x:c>
      <x:c r="F53" s="21" t="n">
        <x:v>15</x:v>
      </x:c>
      <x:c r="G53" s="17" t="n">
        <x:v>4132.201</x:v>
      </x:c>
      <x:c r="H53" s="17" t="n">
        <x:f>G53*F53</x:f>
        <x:v>61983.015</x:v>
      </x:c>
      <x:c r="I53" s="22" t="str">
        <x:f>HYPERLINK("https://etp-aktiv.ru/catalog/materialy/stroitelnye-materialy/2000185167-U121/","Открыть позицию")</x:f>
        <x:v>Открыть позицию</x:v>
      </x:c>
    </x:row>
    <x:row r="54" ht="28" customHeight="1">
      <x:c r="A54" s="16" t="str">
        <x:v>Кемеровская теплосетевая компания</x:v>
      </x:c>
      <x:c r="B54" s="16" t="str">
        <x:v>2000752852-U121</x:v>
      </x:c>
      <x:c r="C54" s="16" t="str">
        <x:v>КОЛЬЦО КС10.6 ГОСТ8020-90</x:v>
      </x:c>
      <x:c r="D54" s="16" t="str">
        <x:v>Железобетонные изделия</x:v>
      </x:c>
      <x:c r="E54" s="16" t="str">
        <x:v>ШТ</x:v>
      </x:c>
      <x:c r="F54" s="21" t="n">
        <x:v>1</x:v>
      </x:c>
      <x:c r="G54" s="17" t="n">
        <x:v>3578.4064</x:v>
      </x:c>
      <x:c r="H54" s="17" t="n">
        <x:f>G54*F54</x:f>
        <x:v>3578.4064</x:v>
      </x:c>
      <x:c r="I54" s="22" t="str">
        <x:f>HYPERLINK("https://etp-aktiv.ru/catalog/materialy/stroitelnye-materialy/2000752852-U121/","Открыть позицию")</x:f>
        <x:v>Открыть позицию</x:v>
      </x:c>
    </x:row>
    <x:row r="55" ht="28" customHeight="1">
      <x:c r="A55" s="16" t="str">
        <x:v>Кемеровская теплосетевая компания</x:v>
      </x:c>
      <x:c r="B55" s="16" t="str">
        <x:v>2000775873-U121</x:v>
      </x:c>
      <x:c r="C55" s="16" t="str">
        <x:v>КОЛЬЦО КС15.9 С.3.900-1.14 В1</x:v>
      </x:c>
      <x:c r="D55" s="16" t="str">
        <x:v>Железобетонные изделия</x:v>
      </x:c>
      <x:c r="E55" s="16" t="str">
        <x:v>ШТ</x:v>
      </x:c>
      <x:c r="F55" s="21" t="n">
        <x:v>2</x:v>
      </x:c>
      <x:c r="G55" s="17" t="n">
        <x:v>2430.4718</x:v>
      </x:c>
      <x:c r="H55" s="17" t="n">
        <x:f>G55*F55</x:f>
        <x:v>4860.9436</x:v>
      </x:c>
      <x:c r="I55" s="22" t="str">
        <x:f>HYPERLINK("https://etp-aktiv.ru/catalog/materialy/stroitelnye-materialy/2000775873-U121/","Открыть позицию")</x:f>
        <x:v>Открыть позицию</x:v>
      </x:c>
    </x:row>
    <x:row r="56" ht="28" customHeight="1">
      <x:c r="A56" s="16" t="str">
        <x:v>Кемеровская теплосетевая компания</x:v>
      </x:c>
      <x:c r="B56" s="16" t="str">
        <x:v>2000557045-U121</x:v>
      </x:c>
      <x:c r="C56" s="16" t="str">
        <x:v>КОЛЬЦО СТЕНОВОЕ КС 15.9-С С.3.900.1-14</x:v>
      </x:c>
      <x:c r="D56" s="16" t="str">
        <x:v>Железобетонные изделия</x:v>
      </x:c>
      <x:c r="E56" s="16" t="str">
        <x:v>ШТ</x:v>
      </x:c>
      <x:c r="F56" s="21" t="n">
        <x:v>7</x:v>
      </x:c>
      <x:c r="G56" s="17" t="n">
        <x:v>8536.035</x:v>
      </x:c>
      <x:c r="H56" s="17" t="n">
        <x:f>G56*F56</x:f>
        <x:v>59752.244999999995</x:v>
      </x:c>
      <x:c r="I56" s="22" t="str">
        <x:f>HYPERLINK("https://etp-aktiv.ru/catalog/materialy/stroitelnye-materialy/2000557045-U121/","Открыть позицию")</x:f>
        <x:v>Открыть позицию</x:v>
      </x:c>
    </x:row>
    <x:row r="57" ht="28" customHeight="1">
      <x:c r="A57" s="16" t="str">
        <x:v>Кемеровская теплосетевая компания</x:v>
      </x:c>
      <x:c r="B57" s="16" t="str">
        <x:v>2000653089-U121</x:v>
      </x:c>
      <x:c r="C57" s="16" t="str">
        <x:v>КОЛЬЦО СТЕНОВОЕ КС 7.9 ГОСТ8020-2016</x:v>
      </x:c>
      <x:c r="D57" s="16" t="str">
        <x:v>Железобетонные изделия</x:v>
      </x:c>
      <x:c r="E57" s="16" t="str">
        <x:v>ШТ</x:v>
      </x:c>
      <x:c r="F57" s="21" t="n">
        <x:v>1</x:v>
      </x:c>
      <x:c r="G57" s="17" t="n">
        <x:v>2893.6936</x:v>
      </x:c>
      <x:c r="H57" s="17" t="n">
        <x:f>G57*F57</x:f>
        <x:v>2893.6936</x:v>
      </x:c>
      <x:c r="I57" s="22" t="str">
        <x:f>HYPERLINK("https://etp-aktiv.ru/catalog/materialy/stroitelnye-materialy/2000653089-U121/","Открыть позицию")</x:f>
        <x:v>Открыть позицию</x:v>
      </x:c>
    </x:row>
    <x:row r="58" ht="28" customHeight="1">
      <x:c r="A58" s="16" t="str">
        <x:v>Кемеровская теплосетевая компания</x:v>
      </x:c>
      <x:c r="B58" s="16" t="str">
        <x:v>2000455089-U121</x:v>
      </x:c>
      <x:c r="C58" s="16" t="str">
        <x:v>КОЛЬЦО СТЕНОВОЕ КС15.9А D1500 H500</x:v>
      </x:c>
      <x:c r="D58" s="16" t="str">
        <x:v>Железобетонные изделия</x:v>
      </x:c>
      <x:c r="E58" s="16" t="str">
        <x:v>ШТ</x:v>
      </x:c>
      <x:c r="F58" s="21" t="n">
        <x:v>1</x:v>
      </x:c>
      <x:c r="G58" s="17" t="n">
        <x:v>13497.0064</x:v>
      </x:c>
      <x:c r="H58" s="17" t="n">
        <x:f>G58*F58</x:f>
        <x:v>13497.0064</x:v>
      </x:c>
      <x:c r="I58" s="22" t="str">
        <x:f>HYPERLINK("https://etp-aktiv.ru/catalog/materialy/stroitelnye-materialy/2000455089-U121/","Открыть позицию")</x:f>
        <x:v>Открыть позицию</x:v>
      </x:c>
    </x:row>
    <x:row r="59" ht="28" customHeight="1">
      <x:c r="A59" s="16" t="str">
        <x:v>Кемеровская теплосетевая компания</x:v>
      </x:c>
      <x:c r="B59" s="16" t="str">
        <x:v>2000879616-U121</x:v>
      </x:c>
      <x:c r="C59" s="16" t="str">
        <x:v>КОЛЬЦО СТЕНОВОЕ КС15.9А С.3.900.1-14 В.1</x:v>
      </x:c>
      <x:c r="D59" s="16" t="str">
        <x:v>Железобетонные изделия</x:v>
      </x:c>
      <x:c r="E59" s="16" t="str">
        <x:v>ШТ</x:v>
      </x:c>
      <x:c r="F59" s="21" t="n">
        <x:v>1</x:v>
      </x:c>
      <x:c r="G59" s="17" t="n">
        <x:v>6576.5686</x:v>
      </x:c>
      <x:c r="H59" s="17" t="n">
        <x:f>G59*F59</x:f>
        <x:v>6576.5686</x:v>
      </x:c>
      <x:c r="I59" s="22" t="str">
        <x:f>HYPERLINK("https://etp-aktiv.ru/catalog/materialy/stroitelnye-materialy/2000879616-U121/","Открыть позицию")</x:f>
        <x:v>Открыть позицию</x:v>
      </x:c>
    </x:row>
    <x:row r="60" ht="28" customHeight="1">
      <x:c r="A60" s="16" t="str">
        <x:v>Кемеровская теплосетевая компания</x:v>
      </x:c>
      <x:c r="B60" s="16" t="str">
        <x:v>2000551488-U121</x:v>
      </x:c>
      <x:c r="C60" s="16" t="str">
        <x:v>КРОНШТЕЙН Д/РАДИАТОРОВ KDR-047 8*180</x:v>
      </x:c>
      <x:c r="D60" s="16" t="str">
        <x:v>Строительные материалы прочие</x:v>
      </x:c>
      <x:c r="E60" s="16" t="str">
        <x:v>ШТ</x:v>
      </x:c>
      <x:c r="F60" s="21" t="n">
        <x:v>16</x:v>
      </x:c>
      <x:c r="G60" s="17" t="n">
        <x:v>22.118599999999997</x:v>
      </x:c>
      <x:c r="H60" s="17" t="n">
        <x:f>G60*F60</x:f>
        <x:v>353.89759999999995</x:v>
      </x:c>
      <x:c r="I60" s="22" t="str">
        <x:f>HYPERLINK("https://etp-aktiv.ru/catalog/materialy/stroitelnye-materialy/2000551488-U121/","Открыть позицию")</x:f>
        <x:v>Открыть позицию</x:v>
      </x:c>
    </x:row>
    <x:row r="61" ht="28" customHeight="1">
      <x:c r="A61" s="16" t="str">
        <x:v>Кемеровская теплосетевая компания</x:v>
      </x:c>
      <x:c r="B61" s="16" t="str">
        <x:v>2000214767-U121</x:v>
      </x:c>
      <x:c r="C61" s="16" t="str">
        <x:v>ЛАК БТ-577 КУЗБАССЛАК</x:v>
      </x:c>
      <x:c r="D61" s="16" t="str">
        <x:v>Строительные материалы прочие</x:v>
      </x:c>
      <x:c r="E61" s="16" t="str">
        <x:v>Л</x:v>
      </x:c>
      <x:c r="F61" s="21" t="n">
        <x:v>18</x:v>
      </x:c>
      <x:c r="G61" s="17" t="n">
        <x:v>72.6632</x:v>
      </x:c>
      <x:c r="H61" s="17" t="n">
        <x:f>G61*F61</x:f>
        <x:v>1307.9376</x:v>
      </x:c>
      <x:c r="I61" s="22" t="str">
        <x:f>HYPERLINK("https://etp-aktiv.ru/catalog/materialy/stroitelnye-materialy/2000214767-U121/","Открыть позицию")</x:f>
        <x:v>Открыть позицию</x:v>
      </x:c>
    </x:row>
    <x:row r="62" ht="28" customHeight="1">
      <x:c r="A62" s="16" t="str">
        <x:v>Кемеровская теплосетевая компания</x:v>
      </x:c>
      <x:c r="B62" s="16" t="str">
        <x:v>2000477750-U121</x:v>
      </x:c>
      <x:c r="C62" s="16" t="str">
        <x:v>ЛЕНТА ФУМ 10*0,2ММ 15М ТУ6-05-1388-86</x:v>
      </x:c>
      <x:c r="D62" s="16" t="str">
        <x:v>Строительные материалы прочие</x:v>
      </x:c>
      <x:c r="E62" s="16" t="str">
        <x:v>ШТ</x:v>
      </x:c>
      <x:c r="F62" s="21" t="n">
        <x:v>15</x:v>
      </x:c>
      <x:c r="G62" s="17" t="n">
        <x:v>81.6058</x:v>
      </x:c>
      <x:c r="H62" s="17" t="n">
        <x:f>G62*F62</x:f>
        <x:v>1224.087</x:v>
      </x:c>
      <x:c r="I62" s="22" t="str">
        <x:f>HYPERLINK("https://etp-aktiv.ru/catalog/materialy/stroitelnye-materialy/2000477750-U121/","Открыть позицию")</x:f>
        <x:v>Открыть позицию</x:v>
      </x:c>
    </x:row>
    <x:row r="63" ht="28" customHeight="1">
      <x:c r="A63" s="16" t="str">
        <x:v>Кемеровская теплосетевая компания</x:v>
      </x:c>
      <x:c r="B63" s="16" t="str">
        <x:v>2000881440-U121</x:v>
      </x:c>
      <x:c r="C63" s="16" t="str">
        <x:v>ЛОТОК 1/2 Л14-11 2970*1840*570</x:v>
      </x:c>
      <x:c r="D63" s="16" t="str">
        <x:v>Железобетонные изделия</x:v>
      </x:c>
      <x:c r="E63" s="16" t="str">
        <x:v>ШТ</x:v>
      </x:c>
      <x:c r="F63" s="21" t="n">
        <x:v>2</x:v>
      </x:c>
      <x:c r="G63" s="17" t="n">
        <x:v>24384.75</x:v>
      </x:c>
      <x:c r="H63" s="17" t="n">
        <x:f>G63*F63</x:f>
        <x:v>48769.5</x:v>
      </x:c>
      <x:c r="I63" s="22" t="str">
        <x:f>HYPERLINK("https://etp-aktiv.ru/catalog/materialy/stroitelnye-materialy/2000881440-U121/","Открыть позицию")</x:f>
        <x:v>Открыть позицию</x:v>
      </x:c>
    </x:row>
    <x:row r="64" ht="28" customHeight="1">
      <x:c r="A64" s="16" t="str">
        <x:v>Кемеровская теплосетевая компания</x:v>
      </x:c>
      <x:c r="B64" s="16" t="str">
        <x:v>2000566732-U121</x:v>
      </x:c>
      <x:c r="C64" s="16" t="str">
        <x:v>ЛОТОК 1/2 Л15-12 С.3.006.1-2.87</x:v>
      </x:c>
      <x:c r="D64" s="16" t="str">
        <x:v>Железобетонные изделия</x:v>
      </x:c>
      <x:c r="E64" s="16" t="str">
        <x:v>ШТ</x:v>
      </x:c>
      <x:c r="F64" s="21" t="n">
        <x:v>7</x:v>
      </x:c>
      <x:c r="G64" s="17" t="n">
        <x:v>26109.524999999998</x:v>
      </x:c>
      <x:c r="H64" s="17" t="n">
        <x:f>G64*F64</x:f>
        <x:v>182766.675</x:v>
      </x:c>
      <x:c r="I64" s="22" t="str">
        <x:f>HYPERLINK("https://etp-aktiv.ru/catalog/materialy/stroitelnye-materialy/2000566732-U121/","Открыть позицию")</x:f>
        <x:v>Открыть позицию</x:v>
      </x:c>
    </x:row>
    <x:row r="65" ht="28" customHeight="1">
      <x:c r="A65" s="16" t="str">
        <x:v>Кемеровская теплосетевая компания</x:v>
      </x:c>
      <x:c r="B65" s="16" t="str">
        <x:v>2000638665-U121</x:v>
      </x:c>
      <x:c r="C65" s="16" t="str">
        <x:v>ЛОТОК 1/2 Л15-15 2970*1840*720</x:v>
      </x:c>
      <x:c r="D65" s="16" t="str">
        <x:v>Железобетонные изделия</x:v>
      </x:c>
      <x:c r="E65" s="16" t="str">
        <x:v>ШТ</x:v>
      </x:c>
      <x:c r="F65" s="21" t="n">
        <x:v>5</x:v>
      </x:c>
      <x:c r="G65" s="17" t="n">
        <x:v>7360.089199999999</x:v>
      </x:c>
      <x:c r="H65" s="17" t="n">
        <x:f>G65*F65</x:f>
        <x:v>36800.445999999996</x:v>
      </x:c>
      <x:c r="I65" s="22" t="str">
        <x:f>HYPERLINK("https://etp-aktiv.ru/catalog/materialy/stroitelnye-materialy/2000638665-U121/","Открыть позицию")</x:f>
        <x:v>Открыть позицию</x:v>
      </x:c>
    </x:row>
    <x:row r="66" ht="28" customHeight="1">
      <x:c r="A66" s="16" t="str">
        <x:v>Кемеровская теплосетевая компания</x:v>
      </x:c>
      <x:c r="B66" s="16" t="str">
        <x:v>2000557290-U121</x:v>
      </x:c>
      <x:c r="C66" s="16" t="str">
        <x:v>ЛОТОК 1/2 Л20-12 С.3.006.1-2.87.1-39</x:v>
      </x:c>
      <x:c r="D66" s="16" t="str">
        <x:v>Железобетонные изделия</x:v>
      </x:c>
      <x:c r="E66" s="16" t="str">
        <x:v>ШТ</x:v>
      </x:c>
      <x:c r="F66" s="21" t="n">
        <x:v>18</x:v>
      </x:c>
      <x:c r="G66" s="17" t="n">
        <x:v>53428.375</x:v>
      </x:c>
      <x:c r="H66" s="17" t="n">
        <x:f>G66*F66</x:f>
        <x:v>961710.75</x:v>
      </x:c>
      <x:c r="I66" s="22" t="str">
        <x:f>HYPERLINK("https://etp-aktiv.ru/catalog/materialy/stroitelnye-materialy/2000557290-U121/","Открыть позицию")</x:f>
        <x:v>Открыть позицию</x:v>
      </x:c>
    </x:row>
    <x:row r="67" ht="28" customHeight="1">
      <x:c r="A67" s="16" t="str">
        <x:v>Кемеровская теплосетевая компания</x:v>
      </x:c>
      <x:c r="B67" s="16" t="str">
        <x:v>2000557284-U121</x:v>
      </x:c>
      <x:c r="C67" s="16" t="str">
        <x:v>ЛОТОК 1/2 Л23-12 2970*2460*740 3.006.1-2</x:v>
      </x:c>
      <x:c r="D67" s="16" t="str">
        <x:v>Железобетонные изделия</x:v>
      </x:c>
      <x:c r="E67" s="16" t="str">
        <x:v>ШТ</x:v>
      </x:c>
      <x:c r="F67" s="21" t="n">
        <x:v>1</x:v>
      </x:c>
      <x:c r="G67" s="17" t="n">
        <x:v>49760.75</x:v>
      </x:c>
      <x:c r="H67" s="17" t="n">
        <x:f>G67*F67</x:f>
        <x:v>49760.75</x:v>
      </x:c>
      <x:c r="I67" s="22" t="str">
        <x:f>HYPERLINK("https://etp-aktiv.ru/catalog/materialy/stroitelnye-materialy/2000557284-U121/","Открыть позицию")</x:f>
        <x:v>Открыть позицию</x:v>
      </x:c>
    </x:row>
    <x:row r="68" ht="28" customHeight="1">
      <x:c r="A68" s="16" t="str">
        <x:v>Кемеровская теплосетевая компания</x:v>
      </x:c>
      <x:c r="B68" s="16" t="str">
        <x:v>2000380153-U121</x:v>
      </x:c>
      <x:c r="C68" s="16" t="str">
        <x:v>ЛОТОК Ж/Б Л6Д-8 720*1160*530 С.3.006.1-2</x:v>
      </x:c>
      <x:c r="D68" s="16" t="str">
        <x:v>Железобетонные изделия</x:v>
      </x:c>
      <x:c r="E68" s="16" t="str">
        <x:v>ШТ</x:v>
      </x:c>
      <x:c r="F68" s="21" t="n">
        <x:v>8</x:v>
      </x:c>
      <x:c r="G68" s="17" t="n">
        <x:v>3189.1654000000003</x:v>
      </x:c>
      <x:c r="H68" s="17" t="n">
        <x:f>G68*F68</x:f>
        <x:v>25513.323200000003</x:v>
      </x:c>
      <x:c r="I68" s="22" t="str">
        <x:f>HYPERLINK("https://etp-aktiv.ru/catalog/materialy/stroitelnye-materialy/2000380153-U121/","Открыть позицию")</x:f>
        <x:v>Открыть позицию</x:v>
      </x:c>
    </x:row>
    <x:row r="69" ht="28" customHeight="1">
      <x:c r="A69" s="16" t="str">
        <x:v>Кемеровская теплосетевая компания</x:v>
      </x:c>
      <x:c r="B69" s="16" t="str">
        <x:v>2000557311-U121</x:v>
      </x:c>
      <x:c r="C69" s="16" t="str">
        <x:v>ЛОТОК Л11Д-11 720*1480*700 3.006.1-2.87</x:v>
      </x:c>
      <x:c r="D69" s="16" t="str">
        <x:v>Железобетонные изделия</x:v>
      </x:c>
      <x:c r="E69" s="16" t="str">
        <x:v>ШТ</x:v>
      </x:c>
      <x:c r="F69" s="21" t="n">
        <x:v>3</x:v>
      </x:c>
      <x:c r="G69" s="17" t="n">
        <x:v>4956.25</x:v>
      </x:c>
      <x:c r="H69" s="17" t="n">
        <x:f>G69*F69</x:f>
        <x:v>14868.75</x:v>
      </x:c>
      <x:c r="I69" s="22" t="str">
        <x:f>HYPERLINK("https://etp-aktiv.ru/catalog/materialy/stroitelnye-materialy/2000557311-U121/","Открыть позицию")</x:f>
        <x:v>Открыть позицию</x:v>
      </x:c>
    </x:row>
    <x:row r="70" ht="28" customHeight="1">
      <x:c r="A70" s="16" t="str">
        <x:v>Кемеровская теплосетевая компания</x:v>
      </x:c>
      <x:c r="B70" s="16" t="str">
        <x:v>2000557312-U121</x:v>
      </x:c>
      <x:c r="C70" s="16" t="str">
        <x:v>ЛОТОК Л11Д-15 720*1480*700 3006.1-2.87.1</x:v>
      </x:c>
      <x:c r="D70" s="16" t="str">
        <x:v>Железобетонные изделия</x:v>
      </x:c>
      <x:c r="E70" s="16" t="str">
        <x:v>ШТ</x:v>
      </x:c>
      <x:c r="F70" s="21" t="n">
        <x:v>2</x:v>
      </x:c>
      <x:c r="G70" s="17" t="n">
        <x:v>7100.034</x:v>
      </x:c>
      <x:c r="H70" s="17" t="n">
        <x:f>G70*F70</x:f>
        <x:v>14200.068</x:v>
      </x:c>
      <x:c r="I70" s="22" t="str">
        <x:f>HYPERLINK("https://etp-aktiv.ru/catalog/materialy/stroitelnye-materialy/2000557312-U121/","Открыть позицию")</x:f>
        <x:v>Открыть позицию</x:v>
      </x:c>
    </x:row>
    <x:row r="71" ht="28" customHeight="1">
      <x:c r="A71" s="16" t="str">
        <x:v>Кемеровская теплосетевая компания</x:v>
      </x:c>
      <x:c r="B71" s="16" t="str">
        <x:v>2000183928-U121</x:v>
      </x:c>
      <x:c r="C71" s="16" t="str">
        <x:v>ЛОТОК Л14Д-8 С.3.006.1-2/82</x:v>
      </x:c>
      <x:c r="D71" s="16" t="str">
        <x:v>Железобетонные изделия</x:v>
      </x:c>
      <x:c r="E71" s="16" t="str">
        <x:v>ШТ</x:v>
      </x:c>
      <x:c r="F71" s="21" t="n">
        <x:v>7</x:v>
      </x:c>
      <x:c r="G71" s="17" t="n">
        <x:v>5918.317599999999</x:v>
      </x:c>
      <x:c r="H71" s="17" t="n">
        <x:f>G71*F71</x:f>
        <x:v>41428.22319999999</x:v>
      </x:c>
      <x:c r="I71" s="22" t="str">
        <x:f>HYPERLINK("https://etp-aktiv.ru/catalog/materialy/stroitelnye-materialy/2000183928-U121/","Открыть позицию")</x:f>
        <x:v>Открыть позицию</x:v>
      </x:c>
    </x:row>
    <x:row r="72" ht="28" customHeight="1">
      <x:c r="A72" s="16" t="str">
        <x:v>Кемеровская теплосетевая компания</x:v>
      </x:c>
      <x:c r="B72" s="16" t="str">
        <x:v>2000638666-U121</x:v>
      </x:c>
      <x:c r="C72" s="16" t="str">
        <x:v>ЛОТОК Л15Д-15 720*1840*720</x:v>
      </x:c>
      <x:c r="D72" s="16" t="str">
        <x:v>Железобетонные изделия</x:v>
      </x:c>
      <x:c r="E72" s="16" t="str">
        <x:v>ШТ</x:v>
      </x:c>
      <x:c r="F72" s="21" t="n">
        <x:v>8</x:v>
      </x:c>
      <x:c r="G72" s="17" t="n">
        <x:v>2103.0726</x:v>
      </x:c>
      <x:c r="H72" s="17" t="n">
        <x:f>G72*F72</x:f>
        <x:v>16824.5808</x:v>
      </x:c>
      <x:c r="I72" s="22" t="str">
        <x:f>HYPERLINK("https://etp-aktiv.ru/catalog/materialy/stroitelnye-materialy/2000638666-U121/","Открыть позицию")</x:f>
        <x:v>Открыть позицию</x:v>
      </x:c>
    </x:row>
    <x:row r="73" ht="28" customHeight="1">
      <x:c r="A73" s="16" t="str">
        <x:v>Кемеровская теплосетевая компания</x:v>
      </x:c>
      <x:c r="B73" s="16" t="str">
        <x:v>2000630255-U121</x:v>
      </x:c>
      <x:c r="C73" s="16" t="str">
        <x:v>ЛОТОК Л15Д-8 720*1840*720</x:v>
      </x:c>
      <x:c r="D73" s="16" t="str">
        <x:v>Железобетонные изделия</x:v>
      </x:c>
      <x:c r="E73" s="16" t="str">
        <x:v>ШТ</x:v>
      </x:c>
      <x:c r="F73" s="21" t="n">
        <x:v>1</x:v>
      </x:c>
      <x:c r="G73" s="17" t="n">
        <x:v>6455.325</x:v>
      </x:c>
      <x:c r="H73" s="17" t="n">
        <x:f>G73*F73</x:f>
        <x:v>6455.325</x:v>
      </x:c>
      <x:c r="I73" s="22" t="str">
        <x:f>HYPERLINK("https://etp-aktiv.ru/catalog/materialy/stroitelnye-materialy/2000630255-U121/","Открыть позицию")</x:f>
        <x:v>Открыть позицию</x:v>
      </x:c>
    </x:row>
    <x:row r="74" ht="28" customHeight="1">
      <x:c r="A74" s="16" t="str">
        <x:v>Кемеровская теплосетевая компания</x:v>
      </x:c>
      <x:c r="B74" s="16" t="str">
        <x:v>2000903278-U121</x:v>
      </x:c>
      <x:c r="C74" s="16" t="str">
        <x:v>ЛОТОК Л16-12/2 2970*1840*1030</x:v>
      </x:c>
      <x:c r="D74" s="16" t="str">
        <x:v>Железобетонные изделия</x:v>
      </x:c>
      <x:c r="E74" s="16" t="str">
        <x:v>ШТ</x:v>
      </x:c>
      <x:c r="F74" s="21" t="n">
        <x:v>5</x:v>
      </x:c>
      <x:c r="G74" s="17" t="n">
        <x:v>34552.229999999996</x:v>
      </x:c>
      <x:c r="H74" s="17" t="n">
        <x:f>G74*F74</x:f>
        <x:v>172761.14999999997</x:v>
      </x:c>
      <x:c r="I74" s="22" t="str">
        <x:f>HYPERLINK("https://etp-aktiv.ru/catalog/materialy/stroitelnye-materialy/2000903278-U121/","Открыть позицию")</x:f>
        <x:v>Открыть позицию</x:v>
      </x:c>
    </x:row>
    <x:row r="75" ht="28" customHeight="1">
      <x:c r="A75" s="16" t="str">
        <x:v>Кемеровская теплосетевая компания</x:v>
      </x:c>
      <x:c r="B75" s="16" t="str">
        <x:v>2000903163-U121</x:v>
      </x:c>
      <x:c r="C75" s="16" t="str">
        <x:v>ЛОТОК Л16Д-12 С.3.006.1-2.87 В.1</x:v>
      </x:c>
      <x:c r="D75" s="16" t="str">
        <x:v>Железобетонные изделия</x:v>
      </x:c>
      <x:c r="E75" s="16" t="str">
        <x:v>ШТ</x:v>
      </x:c>
      <x:c r="F75" s="21" t="n">
        <x:v>4</x:v>
      </x:c>
      <x:c r="G75" s="17" t="n">
        <x:v>12754.5754</x:v>
      </x:c>
      <x:c r="H75" s="17" t="n">
        <x:f>G75*F75</x:f>
        <x:v>51018.3016</x:v>
      </x:c>
      <x:c r="I75" s="22" t="str">
        <x:f>HYPERLINK("https://etp-aktiv.ru/catalog/materialy/stroitelnye-materialy/2000903163-U121/","Открыть позицию")</x:f>
        <x:v>Открыть позицию</x:v>
      </x:c>
    </x:row>
    <x:row r="76" ht="28" customHeight="1">
      <x:c r="A76" s="16" t="str">
        <x:v>Кемеровская теплосетевая компания</x:v>
      </x:c>
      <x:c r="B76" s="16" t="str">
        <x:v>2000576405-U121</x:v>
      </x:c>
      <x:c r="C76" s="16" t="str">
        <x:v>ЛОТОК Л6-11/2 2970*1160*530</x:v>
      </x:c>
      <x:c r="D76" s="16" t="str">
        <x:v>Железобетонные изделия</x:v>
      </x:c>
      <x:c r="E76" s="16" t="str">
        <x:v>ШТ</x:v>
      </x:c>
      <x:c r="F76" s="21" t="n">
        <x:v>2</x:v>
      </x:c>
      <x:c r="G76" s="17" t="n">
        <x:v>4508.0952</x:v>
      </x:c>
      <x:c r="H76" s="17" t="n">
        <x:f>G76*F76</x:f>
        <x:v>9016.1904</x:v>
      </x:c>
      <x:c r="I76" s="22" t="str">
        <x:f>HYPERLINK("https://etp-aktiv.ru/catalog/materialy/stroitelnye-materialy/2000576405-U121/","Открыть позицию")</x:f>
        <x:v>Открыть позицию</x:v>
      </x:c>
    </x:row>
    <x:row r="77" ht="28" customHeight="1">
      <x:c r="A77" s="16" t="str">
        <x:v>Кемеровская теплосетевая компания</x:v>
      </x:c>
      <x:c r="B77" s="16" t="str">
        <x:v>2000853698-U121</x:v>
      </x:c>
      <x:c r="C77" s="16" t="str">
        <x:v>ЛОТОК Л6-15/2 2970*1160*530</x:v>
      </x:c>
      <x:c r="D77" s="16" t="str">
        <x:v>Железобетонные изделия</x:v>
      </x:c>
      <x:c r="E77" s="16" t="str">
        <x:v>ШТ</x:v>
      </x:c>
      <x:c r="F77" s="21" t="n">
        <x:v>3</x:v>
      </x:c>
      <x:c r="G77" s="17" t="n">
        <x:v>15250</x:v>
      </x:c>
      <x:c r="H77" s="17" t="n">
        <x:f>G77*F77</x:f>
        <x:v>45750</x:v>
      </x:c>
      <x:c r="I77" s="22" t="str">
        <x:f>HYPERLINK("https://etp-aktiv.ru/catalog/materialy/stroitelnye-materialy/2000853698-U121/","Открыть позицию")</x:f>
        <x:v>Открыть позицию</x:v>
      </x:c>
    </x:row>
    <x:row r="78" ht="28" customHeight="1">
      <x:c r="A78" s="16" t="str">
        <x:v>Кемеровская теплосетевая компания</x:v>
      </x:c>
      <x:c r="B78" s="16" t="str">
        <x:v>2000557325-U121</x:v>
      </x:c>
      <x:c r="C78" s="16" t="str">
        <x:v>ЛОТОК Л7-11 5970*1160*680 С.3.006.1-2.87</x:v>
      </x:c>
      <x:c r="D78" s="16" t="str">
        <x:v>Железобетонные изделия</x:v>
      </x:c>
      <x:c r="E78" s="16" t="str">
        <x:v>ШТ</x:v>
      </x:c>
      <x:c r="F78" s="21" t="n">
        <x:v>1</x:v>
      </x:c>
      <x:c r="G78" s="17" t="n">
        <x:v>35598.075</x:v>
      </x:c>
      <x:c r="H78" s="17" t="n">
        <x:f>G78*F78</x:f>
        <x:v>35598.075</x:v>
      </x:c>
      <x:c r="I78" s="22" t="str">
        <x:f>HYPERLINK("https://etp-aktiv.ru/catalog/materialy/stroitelnye-materialy/2000557325-U121/","Открыть позицию")</x:f>
        <x:v>Открыть позицию</x:v>
      </x:c>
    </x:row>
    <x:row r="79" ht="28" customHeight="1">
      <x:c r="A79" s="16" t="str">
        <x:v>Кемеровская теплосетевая компания</x:v>
      </x:c>
      <x:c r="B79" s="16" t="str">
        <x:v>2000557330-U121</x:v>
      </x:c>
      <x:c r="C79" s="16" t="str">
        <x:v>ЛОТОК Л7Д-11 С.3.006.1.87 В.1</x:v>
      </x:c>
      <x:c r="D79" s="16" t="str">
        <x:v>Железобетонные изделия</x:v>
      </x:c>
      <x:c r="E79" s="16" t="str">
        <x:v>ШТ</x:v>
      </x:c>
      <x:c r="F79" s="21" t="n">
        <x:v>4</x:v>
      </x:c>
      <x:c r="G79" s="17" t="n">
        <x:v>613.843</x:v>
      </x:c>
      <x:c r="H79" s="17" t="n">
        <x:f>G79*F79</x:f>
        <x:v>2455.372</x:v>
      </x:c>
      <x:c r="I79" s="22" t="str">
        <x:f>HYPERLINK("https://etp-aktiv.ru/catalog/materialy/stroitelnye-materialy/2000557330-U121/","Открыть позицию")</x:f>
        <x:v>Открыть позицию</x:v>
      </x:c>
    </x:row>
    <x:row r="80" ht="28" customHeight="1">
      <x:c r="A80" s="16" t="str">
        <x:v>Кемеровская теплосетевая компания</x:v>
      </x:c>
      <x:c r="B80" s="16" t="str">
        <x:v>2000550587-U121</x:v>
      </x:c>
      <x:c r="C80" s="16" t="str">
        <x:v>МЕХАНИЗМ ЦИЛИНДРОВ KALE-KILIT 164 GM/80</x:v>
      </x:c>
      <x:c r="D80" s="16" t="str">
        <x:v>Строительные материалы прочие</x:v>
      </x:c>
      <x:c r="E80" s="16" t="str">
        <x:v>ШТ</x:v>
      </x:c>
      <x:c r="F80" s="21" t="n">
        <x:v>3</x:v>
      </x:c>
      <x:c r="G80" s="17" t="n">
        <x:v>944.6582</x:v>
      </x:c>
      <x:c r="H80" s="17" t="n">
        <x:f>G80*F80</x:f>
        <x:v>2833.9746</x:v>
      </x:c>
      <x:c r="I80" s="22" t="str">
        <x:f>HYPERLINK("https://etp-aktiv.ru/catalog/materialy/stroitelnye-materialy/2000550587-U121/","Открыть позицию")</x:f>
        <x:v>Открыть позицию</x:v>
      </x:c>
    </x:row>
    <x:row r="81" ht="28" customHeight="1">
      <x:c r="A81" s="16" t="str">
        <x:v>Кемеровская теплосетевая компания</x:v>
      </x:c>
      <x:c r="B81" s="16" t="str">
        <x:v>2000551079-U121</x:v>
      </x:c>
      <x:c r="C81" s="16" t="str">
        <x:v>ОКНО ПВХ PROPLEX 2СТВ 1250*1300 3КАМ ФУР</x:v>
      </x:c>
      <x:c r="D81" s="16" t="str">
        <x:v>Строительные материалы прочие специализированные и под заказ</x:v>
      </x:c>
      <x:c r="E81" s="16" t="str">
        <x:v>ШТ</x:v>
      </x:c>
      <x:c r="F81" s="21" t="n">
        <x:v>4</x:v>
      </x:c>
      <x:c r="G81" s="17" t="n">
        <x:v>30881.25</x:v>
      </x:c>
      <x:c r="H81" s="17" t="n">
        <x:f>G81*F81</x:f>
        <x:v>123525</x:v>
      </x:c>
      <x:c r="I81" s="22" t="str">
        <x:f>HYPERLINK("https://etp-aktiv.ru/catalog/materialy/stroitelnye-materialy/2000551079-U121/","Открыть позицию")</x:f>
        <x:v>Открыть позицию</x:v>
      </x:c>
    </x:row>
    <x:row r="82" ht="28" customHeight="1">
      <x:c r="A82" s="16" t="str">
        <x:v>Кемеровская теплосетевая компания</x:v>
      </x:c>
      <x:c r="B82" s="16" t="str">
        <x:v>2000551202-U121</x:v>
      </x:c>
      <x:c r="C82" s="16" t="str">
        <x:v>ОТВОД КАНАЛИЗАЦИОННЫЙ РР 87° 50 KSO5090</x:v>
      </x:c>
      <x:c r="D82" s="16" t="str">
        <x:v>Строительные материалы прочие</x:v>
      </x:c>
      <x:c r="E82" s="16" t="str">
        <x:v>ШТ</x:v>
      </x:c>
      <x:c r="F82" s="21" t="n">
        <x:v>5</x:v>
      </x:c>
      <x:c r="G82" s="17" t="n">
        <x:v>27.45</x:v>
      </x:c>
      <x:c r="H82" s="17" t="n">
        <x:f>G82*F82</x:f>
        <x:v>137.25</x:v>
      </x:c>
      <x:c r="I82" s="22" t="str">
        <x:f>HYPERLINK("https://etp-aktiv.ru/catalog/materialy/stroitelnye-materialy/2000551202-U121/","Открыть позицию")</x:f>
        <x:v>Открыть позицию</x:v>
      </x:c>
    </x:row>
    <x:row r="83" ht="28" customHeight="1">
      <x:c r="A83" s="16" t="str">
        <x:v>Кемеровская теплосетевая компания</x:v>
      </x:c>
      <x:c r="B83" s="16" t="str">
        <x:v>2000782761-U121</x:v>
      </x:c>
      <x:c r="C83" s="16" t="str">
        <x:v>ОТЛИВ ПВХ 14017137 БЕЛЫЙ 180*2000</x:v>
      </x:c>
      <x:c r="D83" s="16" t="str">
        <x:v>Строительные материалы прочие</x:v>
      </x:c>
      <x:c r="E83" s="16" t="str">
        <x:v>ШТ</x:v>
      </x:c>
      <x:c r="F83" s="21" t="n">
        <x:v>11</x:v>
      </x:c>
      <x:c r="G83" s="17" t="n">
        <x:v>394.9994</x:v>
      </x:c>
      <x:c r="H83" s="17" t="n">
        <x:f>G83*F83</x:f>
        <x:v>4344.993399999999</x:v>
      </x:c>
      <x:c r="I83" s="22" t="str">
        <x:f>HYPERLINK("https://etp-aktiv.ru/catalog/materialy/stroitelnye-materialy/2000782761-U121/","Открыть позицию")</x:f>
        <x:v>Открыть позицию</x:v>
      </x:c>
    </x:row>
    <x:row r="84" ht="28" customHeight="1">
      <x:c r="A84" s="16" t="str">
        <x:v>Кемеровская теплосетевая компания</x:v>
      </x:c>
      <x:c r="B84" s="16" t="str">
        <x:v>2000557059-U121</x:v>
      </x:c>
      <x:c r="C84" s="16" t="str">
        <x:v>ПЕРЕМЫЧКА 3ПБ 16-37 С.1.038.1-1 В.1</x:v>
      </x:c>
      <x:c r="D84" s="16" t="str">
        <x:v>Железобетонные изделия</x:v>
      </x:c>
      <x:c r="E84" s="16" t="str">
        <x:v>ШТ</x:v>
      </x:c>
      <x:c r="F84" s="21" t="n">
        <x:v>8</x:v>
      </x:c>
      <x:c r="G84" s="17" t="n">
        <x:v>1399.9987999999998</x:v>
      </x:c>
      <x:c r="H84" s="17" t="n">
        <x:f>G84*F84</x:f>
        <x:v>11199.990399999999</x:v>
      </x:c>
      <x:c r="I84" s="22" t="str">
        <x:f>HYPERLINK("https://etp-aktiv.ru/catalog/materialy/stroitelnye-materialy/2000557059-U121/","Открыть позицию")</x:f>
        <x:v>Открыть позицию</x:v>
      </x:c>
    </x:row>
    <x:row r="85" ht="28" customHeight="1">
      <x:c r="A85" s="16" t="str">
        <x:v>Кемеровская теплосетевая компания</x:v>
      </x:c>
      <x:c r="B85" s="16" t="str">
        <x:v>2000557075-U121</x:v>
      </x:c>
      <x:c r="C85" s="16" t="str">
        <x:v>ПЕРЕМЫЧКА 3ПБ 18-37 С.1.038.1-1 В.1</x:v>
      </x:c>
      <x:c r="D85" s="16" t="str">
        <x:v>Железобетонные изделия</x:v>
      </x:c>
      <x:c r="E85" s="16" t="str">
        <x:v>ШТ</x:v>
      </x:c>
      <x:c r="F85" s="21" t="n">
        <x:v>18</x:v>
      </x:c>
      <x:c r="G85" s="17" t="n">
        <x:v>619.0646</x:v>
      </x:c>
      <x:c r="H85" s="17" t="n">
        <x:f>G85*F85</x:f>
        <x:v>11143.1628</x:v>
      </x:c>
      <x:c r="I85" s="22" t="str">
        <x:f>HYPERLINK("https://etp-aktiv.ru/catalog/materialy/stroitelnye-materialy/2000557075-U121/","Открыть позицию")</x:f>
        <x:v>Открыть позицию</x:v>
      </x:c>
    </x:row>
    <x:row r="86" ht="28" customHeight="1">
      <x:c r="A86" s="16" t="str">
        <x:v>Кемеровская теплосетевая компания</x:v>
      </x:c>
      <x:c r="B86" s="16" t="str">
        <x:v>2000557062-U121</x:v>
      </x:c>
      <x:c r="C86" s="16" t="str">
        <x:v>ПЕРЕМЫЧКА 3ПБ 30-8П С.1.038.1-1 В.1</x:v>
      </x:c>
      <x:c r="D86" s="16" t="str">
        <x:v>Железобетонные изделия</x:v>
      </x:c>
      <x:c r="E86" s="16" t="str">
        <x:v>ШТ</x:v>
      </x:c>
      <x:c r="F86" s="21" t="n">
        <x:v>8</x:v>
      </x:c>
      <x:c r="G86" s="17" t="n">
        <x:v>2358.4186</x:v>
      </x:c>
      <x:c r="H86" s="17" t="n">
        <x:f>G86*F86</x:f>
        <x:v>18867.3488</x:v>
      </x:c>
      <x:c r="I86" s="22" t="str">
        <x:f>HYPERLINK("https://etp-aktiv.ru/catalog/materialy/stroitelnye-materialy/2000557062-U121/","Открыть позицию")</x:f>
        <x:v>Открыть позицию</x:v>
      </x:c>
    </x:row>
    <x:row r="87" ht="28" customHeight="1">
      <x:c r="A87" s="16" t="str">
        <x:v>Кемеровская теплосетевая компания</x:v>
      </x:c>
      <x:c r="B87" s="16" t="str">
        <x:v>2000970051-U121</x:v>
      </x:c>
      <x:c r="C87" s="16" t="str">
        <x:v>ПЕРЕМЫЧКА 3ПБ18-37-П С.1.038.1-1 В.1</x:v>
      </x:c>
      <x:c r="D87" s="16" t="str">
        <x:v>Железобетонные изделия</x:v>
      </x:c>
      <x:c r="E87" s="16" t="str">
        <x:v>ШТ</x:v>
      </x:c>
      <x:c r="F87" s="21" t="n">
        <x:v>1</x:v>
      </x:c>
      <x:c r="G87" s="17" t="n">
        <x:v>1159.7685999999999</x:v>
      </x:c>
      <x:c r="H87" s="17" t="n">
        <x:f>G87*F87</x:f>
        <x:v>1159.7685999999999</x:v>
      </x:c>
      <x:c r="I87" s="22" t="str">
        <x:f>HYPERLINK("https://etp-aktiv.ru/catalog/materialy/stroitelnye-materialy/2000970051-U121/","Открыть позицию")</x:f>
        <x:v>Открыть позицию</x:v>
      </x:c>
    </x:row>
    <x:row r="88" ht="28" customHeight="1">
      <x:c r="A88" s="16" t="str">
        <x:v>Кемеровская теплосетевая компания</x:v>
      </x:c>
      <x:c r="B88" s="16" t="str">
        <x:v>2001018997-U121</x:v>
      </x:c>
      <x:c r="C88" s="16" t="str">
        <x:v>ПЕРЕМЫЧКА 4ПБ 48-8-П С.1.038.1-1 В.1</x:v>
      </x:c>
      <x:c r="D88" s="16" t="str">
        <x:v>Железобетонные изделия</x:v>
      </x:c>
      <x:c r="E88" s="16" t="str">
        <x:v>ШТ</x:v>
      </x:c>
      <x:c r="F88" s="21" t="n">
        <x:v>2</x:v>
      </x:c>
      <x:c r="G88" s="17" t="n">
        <x:v>4064.125</x:v>
      </x:c>
      <x:c r="H88" s="17" t="n">
        <x:f>G88*F88</x:f>
        <x:v>8128.25</x:v>
      </x:c>
      <x:c r="I88" s="22" t="str">
        <x:f>HYPERLINK("https://etp-aktiv.ru/catalog/materialy/stroitelnye-materialy/2001018997-U121/","Открыть позицию")</x:f>
        <x:v>Открыть позицию</x:v>
      </x:c>
    </x:row>
    <x:row r="89" ht="28" customHeight="1">
      <x:c r="A89" s="16" t="str">
        <x:v>Кемеровская теплосетевая компания</x:v>
      </x:c>
      <x:c r="B89" s="16" t="str">
        <x:v>2001018996-U121</x:v>
      </x:c>
      <x:c r="C89" s="16" t="str">
        <x:v>ПЕРЕМЫЧКА 4ПБ 60-8-П С.1.038.1-1 В.1</x:v>
      </x:c>
      <x:c r="D89" s="16" t="str">
        <x:v>Железобетонные изделия</x:v>
      </x:c>
      <x:c r="E89" s="16" t="str">
        <x:v>ШТ</x:v>
      </x:c>
      <x:c r="F89" s="21" t="n">
        <x:v>1</x:v>
      </x:c>
      <x:c r="G89" s="17" t="n">
        <x:v>5848.375</x:v>
      </x:c>
      <x:c r="H89" s="17" t="n">
        <x:f>G89*F89</x:f>
        <x:v>5848.375</x:v>
      </x:c>
      <x:c r="I89" s="22" t="str">
        <x:f>HYPERLINK("https://etp-aktiv.ru/catalog/materialy/stroitelnye-materialy/2001018996-U121/","Открыть позицию")</x:f>
        <x:v>Открыть позицию</x:v>
      </x:c>
    </x:row>
    <x:row r="90" ht="28" customHeight="1">
      <x:c r="A90" s="16" t="str">
        <x:v>Кемеровская теплосетевая компания</x:v>
      </x:c>
      <x:c r="B90" s="16" t="str">
        <x:v>2000560910-U121</x:v>
      </x:c>
      <x:c r="C90" s="16" t="str">
        <x:v>ПЕСОК СЕЯНЫЙ I КЛ МК ГОСТ8236 2,5-3,0ММ</x:v>
      </x:c>
      <x:c r="D90" s="16" t="str">
        <x:v>Щебень, гравий</x:v>
      </x:c>
      <x:c r="E90" s="16" t="str">
        <x:v>М3</x:v>
      </x:c>
      <x:c r="F90" s="29" t="n">
        <x:v>2.581</x:v>
      </x:c>
      <x:c r="G90" s="17" t="n">
        <x:v>2031.3975999999998</x:v>
      </x:c>
      <x:c r="H90" s="17" t="n">
        <x:f>G90*F90</x:f>
        <x:v>5243.0372056</x:v>
      </x:c>
      <x:c r="I90" s="22" t="str">
        <x:f>HYPERLINK("https://etp-aktiv.ru/catalog/materialy/stroitelnye-materialy/2000560910-U121/","Открыть позицию")</x:f>
        <x:v>Открыть позицию</x:v>
      </x:c>
    </x:row>
    <x:row r="91" ht="28" customHeight="1">
      <x:c r="A91" s="16" t="str">
        <x:v>Кемеровская теплосетевая компания</x:v>
      </x:c>
      <x:c r="B91" s="16" t="str">
        <x:v>2000157221-U121</x:v>
      </x:c>
      <x:c r="C91" s="16" t="str">
        <x:v>ПЕСОК СТРОИТ КЛ2 СРЕДНИЙ</x:v>
      </x:c>
      <x:c r="D91" s="16" t="str">
        <x:v>Щебень, гравий</x:v>
      </x:c>
      <x:c r="E91" s="16" t="str">
        <x:v>М3</x:v>
      </x:c>
      <x:c r="F91" s="30" t="n">
        <x:v>0.823</x:v>
      </x:c>
      <x:c r="G91" s="17" t="n">
        <x:v>2107.7696</x:v>
      </x:c>
      <x:c r="H91" s="17" t="n">
        <x:f>G91*F91</x:f>
        <x:v>1734.6943807999999</x:v>
      </x:c>
      <x:c r="I91" s="22" t="str">
        <x:f>HYPERLINK("https://etp-aktiv.ru/catalog/materialy/stroitelnye-materialy/2000157221-U121/","Открыть позицию")</x:f>
        <x:v>Открыть позицию</x:v>
      </x:c>
    </x:row>
    <x:row r="92" ht="28" customHeight="1">
      <x:c r="A92" s="16" t="str">
        <x:v>Кемеровская теплосетевая компания</x:v>
      </x:c>
      <x:c r="B92" s="16" t="str">
        <x:v>2000550830-U121</x:v>
      </x:c>
      <x:c r="C92" s="16" t="str">
        <x:v>ПЕТЛЯ ДВ АЛБЕС BOARD AP600 БРОНЗА 4*3*2</x:v>
      </x:c>
      <x:c r="D92" s="16" t="str">
        <x:v>Строительные материалы прочие</x:v>
      </x:c>
      <x:c r="E92" s="16" t="str">
        <x:v>ШТ</x:v>
      </x:c>
      <x:c r="F92" s="21" t="n">
        <x:v>4</x:v>
      </x:c>
      <x:c r="G92" s="17" t="n">
        <x:v>2287.5</x:v>
      </x:c>
      <x:c r="H92" s="17" t="n">
        <x:f>G92*F92</x:f>
        <x:v>9150</x:v>
      </x:c>
      <x:c r="I92" s="22" t="str">
        <x:f>HYPERLINK("https://etp-aktiv.ru/catalog/materialy/stroitelnye-materialy/2000550830-U121/","Открыть позицию")</x:f>
        <x:v>Открыть позицию</x:v>
      </x:c>
    </x:row>
    <x:row r="93" ht="28" customHeight="1">
      <x:c r="A93" s="16" t="str">
        <x:v>Кемеровская теплосетевая компания</x:v>
      </x:c>
      <x:c r="B93" s="16" t="str">
        <x:v>2000557082-U121</x:v>
      </x:c>
      <x:c r="C93" s="16" t="str">
        <x:v>ПЛИТА 12Д-15 С.3.006.1-2.87 В.2</x:v>
      </x:c>
      <x:c r="D93" s="16" t="str">
        <x:v>Железобетонные изделия</x:v>
      </x:c>
      <x:c r="E93" s="16" t="str">
        <x:v>ШТ</x:v>
      </x:c>
      <x:c r="F93" s="21" t="n">
        <x:v>1</x:v>
      </x:c>
      <x:c r="G93" s="17" t="n">
        <x:v>2603.8216</x:v>
      </x:c>
      <x:c r="H93" s="17" t="n">
        <x:f>G93*F93</x:f>
        <x:v>2603.8216</x:v>
      </x:c>
      <x:c r="I93" s="22" t="str">
        <x:f>HYPERLINK("https://etp-aktiv.ru/catalog/materialy/stroitelnye-materialy/2000557082-U121/","Открыть позицию")</x:f>
        <x:v>Открыть позицию</x:v>
      </x:c>
    </x:row>
    <x:row r="94" ht="28" customHeight="1">
      <x:c r="A94" s="16" t="str">
        <x:v>Кемеровская теплосетевая компания</x:v>
      </x:c>
      <x:c r="B94" s="16" t="str">
        <x:v>2000877454-U121</x:v>
      </x:c>
      <x:c r="C94" s="16" t="str">
        <x:v>ПЛИТА 1П35.28-4,08 ГОСТ21924.0-84</x:v>
      </x:c>
      <x:c r="D94" s="16" t="str">
        <x:v>Железобетонные изделия</x:v>
      </x:c>
      <x:c r="E94" s="16" t="str">
        <x:v>ШТ</x:v>
      </x:c>
      <x:c r="F94" s="21" t="n">
        <x:v>19</x:v>
      </x:c>
      <x:c r="G94" s="17" t="n">
        <x:v>31545.8084</x:v>
      </x:c>
      <x:c r="H94" s="17" t="n">
        <x:f>G94*F94</x:f>
        <x:v>599370.3596000001</x:v>
      </x:c>
      <x:c r="I94" s="22" t="str">
        <x:f>HYPERLINK("https://etp-aktiv.ru/catalog/materialy/stroitelnye-materialy/2000877454-U121/","Открыть позицию")</x:f>
        <x:v>Открыть позицию</x:v>
      </x:c>
    </x:row>
    <x:row r="95" ht="28" customHeight="1">
      <x:c r="A95" s="16" t="str">
        <x:v>Кемеровская теплосетевая компания</x:v>
      </x:c>
      <x:c r="B95" s="16" t="str">
        <x:v>2000697688-U121</x:v>
      </x:c>
      <x:c r="C95" s="16" t="str">
        <x:v>ПЛИТА 1П60-19-30 ГОСТ21924.0-84</x:v>
      </x:c>
      <x:c r="D95" s="16" t="str">
        <x:v>Железобетонные изделия</x:v>
      </x:c>
      <x:c r="E95" s="16" t="str">
        <x:v>ШТ</x:v>
      </x:c>
      <x:c r="F95" s="21" t="n">
        <x:v>2</x:v>
      </x:c>
      <x:c r="G95" s="17" t="n">
        <x:v>33550</x:v>
      </x:c>
      <x:c r="H95" s="17" t="n">
        <x:f>G95*F95</x:f>
        <x:v>67100</x:v>
      </x:c>
      <x:c r="I95" s="22" t="str">
        <x:f>HYPERLINK("https://etp-aktiv.ru/catalog/materialy/stroitelnye-materialy/2000697688-U121/","Открыть позицию")</x:f>
        <x:v>Открыть позицию</x:v>
      </x:c>
    </x:row>
    <x:row r="96" ht="28" customHeight="1">
      <x:c r="A96" s="16" t="str">
        <x:v>Кемеровская теплосетевая компания</x:v>
      </x:c>
      <x:c r="B96" s="16" t="str">
        <x:v>2001033576-U121</x:v>
      </x:c>
      <x:c r="C96" s="16" t="str">
        <x:v>ПЛИТА 2990*780*120 4579.22-АС.И-П6-15-1</x:v>
      </x:c>
      <x:c r="D96" s="16" t="str">
        <x:v>Железобетонные изделия</x:v>
      </x:c>
      <x:c r="E96" s="16" t="str">
        <x:v>ШТ</x:v>
      </x:c>
      <x:c r="F96" s="21" t="n">
        <x:v>1</x:v>
      </x:c>
      <x:c r="G96" s="17" t="n">
        <x:v>9150</x:v>
      </x:c>
      <x:c r="H96" s="17" t="n">
        <x:f>G96*F96</x:f>
        <x:v>9150</x:v>
      </x:c>
      <x:c r="I96" s="22" t="str">
        <x:f>HYPERLINK("https://etp-aktiv.ru/catalog/materialy/stroitelnye-materialy/2001033576-U121/","Открыть позицию")</x:f>
        <x:v>Открыть позицию</x:v>
      </x:c>
    </x:row>
    <x:row r="97" ht="28" customHeight="1">
      <x:c r="A97" s="16" t="str">
        <x:v>Кемеровская теплосетевая компания</x:v>
      </x:c>
      <x:c r="B97" s="16" t="str">
        <x:v>2000930003-U121</x:v>
      </x:c>
      <x:c r="C97" s="16" t="str">
        <x:v>ПЛИТА 3300*1190*220 4125.22-АС-АС.И-П26</x:v>
      </x:c>
      <x:c r="D97" s="16" t="str">
        <x:v>Железобетонные изделия</x:v>
      </x:c>
      <x:c r="E97" s="16" t="str">
        <x:v>ШТ</x:v>
      </x:c>
      <x:c r="F97" s="21" t="n">
        <x:v>1</x:v>
      </x:c>
      <x:c r="G97" s="17" t="n">
        <x:v>45384</x:v>
      </x:c>
      <x:c r="H97" s="17" t="n">
        <x:f>G97*F97</x:f>
        <x:v>45384</x:v>
      </x:c>
      <x:c r="I97" s="22" t="str">
        <x:f>HYPERLINK("https://etp-aktiv.ru/catalog/materialy/stroitelnye-materialy/2000930003-U121/","Открыть позицию")</x:f>
        <x:v>Открыть позицию</x:v>
      </x:c>
    </x:row>
    <x:row r="98" ht="28" customHeight="1">
      <x:c r="A98" s="16" t="str">
        <x:v>Кемеровская теплосетевая компания</x:v>
      </x:c>
      <x:c r="B98" s="16" t="str">
        <x:v>2000930002-U121</x:v>
      </x:c>
      <x:c r="C98" s="16" t="str">
        <x:v>ПЛИТА 3300*990*220 4125.22-АС-АС.И-П18</x:v>
      </x:c>
      <x:c r="D98" s="16" t="str">
        <x:v>Железобетонные изделия</x:v>
      </x:c>
      <x:c r="E98" s="16" t="str">
        <x:v>ШТ</x:v>
      </x:c>
      <x:c r="F98" s="21" t="n">
        <x:v>1</x:v>
      </x:c>
      <x:c r="G98" s="17" t="n">
        <x:v>31869.45</x:v>
      </x:c>
      <x:c r="H98" s="17" t="n">
        <x:f>G98*F98</x:f>
        <x:v>31869.45</x:v>
      </x:c>
      <x:c r="I98" s="22" t="str">
        <x:f>HYPERLINK("https://etp-aktiv.ru/catalog/materialy/stroitelnye-materialy/2000930002-U121/","Открыть позицию")</x:f>
        <x:v>Открыть позицию</x:v>
      </x:c>
    </x:row>
    <x:row r="99" ht="28" customHeight="1">
      <x:c r="A99" s="16" t="str">
        <x:v>Кемеровская теплосетевая компания</x:v>
      </x:c>
      <x:c r="B99" s="16" t="str">
        <x:v>2001033575-U121</x:v>
      </x:c>
      <x:c r="C99" s="16" t="str">
        <x:v>ПЛИТА 740*780*120 4579.22-АС.И-П6Д-15-1</x:v>
      </x:c>
      <x:c r="D99" s="16" t="str">
        <x:v>Железобетонные изделия</x:v>
      </x:c>
      <x:c r="E99" s="16" t="str">
        <x:v>ШТ</x:v>
      </x:c>
      <x:c r="F99" s="21" t="n">
        <x:v>12</x:v>
      </x:c>
      <x:c r="G99" s="17" t="n">
        <x:v>3135.2536</x:v>
      </x:c>
      <x:c r="H99" s="17" t="n">
        <x:f>G99*F99</x:f>
        <x:v>37623.0432</x:v>
      </x:c>
      <x:c r="I99" s="22" t="str">
        <x:f>HYPERLINK("https://etp-aktiv.ru/catalog/materialy/stroitelnye-materialy/2001033575-U121/","Открыть позицию")</x:f>
        <x:v>Открыть позицию</x:v>
      </x:c>
    </x:row>
    <x:row r="100" ht="28" customHeight="1">
      <x:c r="A100" s="16" t="str">
        <x:v>Кемеровская теплосетевая компания</x:v>
      </x:c>
      <x:c r="B100" s="16" t="str">
        <x:v>2000289163-U121</x:v>
      </x:c>
      <x:c r="C100" s="16" t="str">
        <x:v>ПЛИТА Д/ПОТОЛКА АНГАРА 600*600*6</x:v>
      </x:c>
      <x:c r="D100" s="16" t="str">
        <x:v>Строительные материалы прочие</x:v>
      </x:c>
      <x:c r="E100" s="16" t="str">
        <x:v>М2</x:v>
      </x:c>
      <x:c r="F100" s="29" t="n">
        <x:v>71.64</x:v>
      </x:c>
      <x:c r="G100" s="17" t="n">
        <x:v>273.2312</x:v>
      </x:c>
      <x:c r="H100" s="17" t="n">
        <x:f>G100*F100</x:f>
        <x:v>19574.283168</x:v>
      </x:c>
      <x:c r="I100" s="22" t="str">
        <x:f>HYPERLINK("https://etp-aktiv.ru/catalog/materialy/stroitelnye-materialy/2000289163-U121/","Открыть позицию")</x:f>
        <x:v>Открыть позицию</x:v>
      </x:c>
    </x:row>
    <x:row r="101" ht="28" customHeight="1">
      <x:c r="A101" s="16" t="str">
        <x:v>Кемеровская теплосетевая компания</x:v>
      </x:c>
      <x:c r="B101" s="16" t="str">
        <x:v>2000261510-U121</x:v>
      </x:c>
      <x:c r="C101" s="16" t="str">
        <x:v>ПЛИТА ДНИЩА ПН15 С.3.900.1-14 ВЫП1</x:v>
      </x:c>
      <x:c r="D101" s="16" t="str">
        <x:v>Железобетонные изделия</x:v>
      </x:c>
      <x:c r="E101" s="16" t="str">
        <x:v>ШТ</x:v>
      </x:c>
      <x:c r="F101" s="21" t="n">
        <x:v>3</x:v>
      </x:c>
      <x:c r="G101" s="17" t="n">
        <x:v>3574.2218</x:v>
      </x:c>
      <x:c r="H101" s="17" t="n">
        <x:f>G101*F101</x:f>
        <x:v>10722.6654</x:v>
      </x:c>
      <x:c r="I101" s="22" t="str">
        <x:f>HYPERLINK("https://etp-aktiv.ru/catalog/materialy/stroitelnye-materialy/2000261510-U121/","Открыть позицию")</x:f>
        <x:v>Открыть позицию</x:v>
      </x:c>
    </x:row>
    <x:row r="102" ht="28" customHeight="1">
      <x:c r="A102" s="16" t="str">
        <x:v>Кемеровская теплосетевая компания</x:v>
      </x:c>
      <x:c r="B102" s="16" t="str">
        <x:v>2001033396-U121</x:v>
      </x:c>
      <x:c r="C102" s="16" t="str">
        <x:v>ПЛИТА П1 2980*1190*220 4586.23-АС.И-П1</x:v>
      </x:c>
      <x:c r="D102" s="16" t="str">
        <x:v>Железобетонные изделия</x:v>
      </x:c>
      <x:c r="E102" s="16" t="str">
        <x:v>ШТ</x:v>
      </x:c>
      <x:c r="F102" s="21" t="n">
        <x:v>2</x:v>
      </x:c>
      <x:c r="G102" s="17" t="n">
        <x:v>41669.1</x:v>
      </x:c>
      <x:c r="H102" s="17" t="n">
        <x:f>G102*F102</x:f>
        <x:v>83338.2</x:v>
      </x:c>
      <x:c r="I102" s="22" t="str">
        <x:f>HYPERLINK("https://etp-aktiv.ru/catalog/materialy/stroitelnye-materialy/2001033396-U121/","Открыть позицию")</x:f>
        <x:v>Открыть позицию</x:v>
      </x:c>
    </x:row>
    <x:row r="103" ht="28" customHeight="1">
      <x:c r="A103" s="16" t="str">
        <x:v>Кемеровская теплосетевая компания</x:v>
      </x:c>
      <x:c r="B103" s="16" t="str">
        <x:v>2000803192-U121</x:v>
      </x:c>
      <x:c r="C103" s="16" t="str">
        <x:v>ПЛИТА П1 4000*1185*300 3793.21-АС.И-П1</x:v>
      </x:c>
      <x:c r="D103" s="16" t="str">
        <x:v>Железобетонные изделия</x:v>
      </x:c>
      <x:c r="E103" s="16" t="str">
        <x:v>ШТ</x:v>
      </x:c>
      <x:c r="F103" s="21" t="n">
        <x:v>2</x:v>
      </x:c>
      <x:c r="G103" s="17" t="n">
        <x:v>100833</x:v>
      </x:c>
      <x:c r="H103" s="17" t="n">
        <x:f>G103*F103</x:f>
        <x:v>201666</x:v>
      </x:c>
      <x:c r="I103" s="22" t="str">
        <x:f>HYPERLINK("https://etp-aktiv.ru/catalog/materialy/stroitelnye-materialy/2000803192-U121/","Открыть позицию")</x:f>
        <x:v>Открыть позицию</x:v>
      </x:c>
    </x:row>
    <x:row r="104" ht="28" customHeight="1">
      <x:c r="A104" s="16" t="str">
        <x:v>Кемеровская теплосетевая компания</x:v>
      </x:c>
      <x:c r="B104" s="16" t="str">
        <x:v>2001018981-U121</x:v>
      </x:c>
      <x:c r="C104" s="16" t="str">
        <x:v>ПЛИТА П1 4100*1480*350 4392.23-АС.И-П1</x:v>
      </x:c>
      <x:c r="D104" s="16" t="str">
        <x:v>Железобетонные изделия</x:v>
      </x:c>
      <x:c r="E104" s="16" t="str">
        <x:v>ШТ</x:v>
      </x:c>
      <x:c r="F104" s="21" t="n">
        <x:v>1</x:v>
      </x:c>
      <x:c r="G104" s="17" t="n">
        <x:v>85400</x:v>
      </x:c>
      <x:c r="H104" s="17" t="n">
        <x:f>G104*F104</x:f>
        <x:v>85400</x:v>
      </x:c>
      <x:c r="I104" s="22" t="str">
        <x:f>HYPERLINK("https://etp-aktiv.ru/catalog/materialy/stroitelnye-materialy/2001018981-U121/","Открыть позицию")</x:f>
        <x:v>Открыть позицию</x:v>
      </x:c>
    </x:row>
    <x:row r="105" ht="28" customHeight="1">
      <x:c r="A105" s="16" t="str">
        <x:v>Кемеровская теплосетевая компания</x:v>
      </x:c>
      <x:c r="B105" s="16" t="str">
        <x:v>2000899505-U121</x:v>
      </x:c>
      <x:c r="C105" s="16" t="str">
        <x:v>ПЛИТА П1 4500*1190*300 4070.1-АС.И-П1</x:v>
      </x:c>
      <x:c r="D105" s="16" t="str">
        <x:v>Железобетонные изделия</x:v>
      </x:c>
      <x:c r="E105" s="16" t="str">
        <x:v>ШТ</x:v>
      </x:c>
      <x:c r="F105" s="21" t="n">
        <x:v>1</x:v>
      </x:c>
      <x:c r="G105" s="17" t="n">
        <x:v>66909.375</x:v>
      </x:c>
      <x:c r="H105" s="17" t="n">
        <x:f>G105*F105</x:f>
        <x:v>66909.375</x:v>
      </x:c>
      <x:c r="I105" s="22" t="str">
        <x:f>HYPERLINK("https://etp-aktiv.ru/catalog/materialy/stroitelnye-materialy/2000899505-U121/","Открыть позицию")</x:f>
        <x:v>Открыть позицию</x:v>
      </x:c>
    </x:row>
    <x:row r="106" ht="28" customHeight="1">
      <x:c r="A106" s="16" t="str">
        <x:v>Кемеровская теплосетевая компания</x:v>
      </x:c>
      <x:c r="B106" s="16" t="str">
        <x:v>2000842176-U121</x:v>
      </x:c>
      <x:c r="C106" s="16" t="str">
        <x:v>ПЛИТА П1-8 С.3.006.1-2.87</x:v>
      </x:c>
      <x:c r="D106" s="16" t="str">
        <x:v>Железобетонные изделия</x:v>
      </x:c>
      <x:c r="E106" s="16" t="str">
        <x:v>ШТ</x:v>
      </x:c>
      <x:c r="F106" s="21" t="n">
        <x:v>2</x:v>
      </x:c>
      <x:c r="G106" s="17" t="n">
        <x:v>444.69</x:v>
      </x:c>
      <x:c r="H106" s="17" t="n">
        <x:f>G106*F106</x:f>
        <x:v>889.38</x:v>
      </x:c>
      <x:c r="I106" s="22" t="str">
        <x:f>HYPERLINK("https://etp-aktiv.ru/catalog/materialy/stroitelnye-materialy/2000842176-U121/","Открыть позицию")</x:f>
        <x:v>Открыть позицию</x:v>
      </x:c>
    </x:row>
    <x:row r="107" ht="28" customHeight="1">
      <x:c r="A107" s="16" t="str">
        <x:v>Кемеровская теплосетевая компания</x:v>
      </x:c>
      <x:c r="B107" s="16" t="str">
        <x:v>2000716101-U121</x:v>
      </x:c>
      <x:c r="C107" s="16" t="str">
        <x:v>ПЛИТА П11 3488.20-АС2.1.И-П11</x:v>
      </x:c>
      <x:c r="D107" s="16" t="str">
        <x:v>Железобетонные изделия</x:v>
      </x:c>
      <x:c r="E107" s="16" t="str">
        <x:v>ШТ</x:v>
      </x:c>
      <x:c r="F107" s="21" t="n">
        <x:v>1</x:v>
      </x:c>
      <x:c r="G107" s="17" t="n">
        <x:v>76165.20999999999</x:v>
      </x:c>
      <x:c r="H107" s="17" t="n">
        <x:f>G107*F107</x:f>
        <x:v>76165.20999999999</x:v>
      </x:c>
      <x:c r="I107" s="22" t="str">
        <x:f>HYPERLINK("https://etp-aktiv.ru/catalog/materialy/stroitelnye-materialy/2000716101-U121/","Открыть позицию")</x:f>
        <x:v>Открыть позицию</x:v>
      </x:c>
    </x:row>
    <x:row r="108" ht="28" customHeight="1">
      <x:c r="A108" s="16" t="str">
        <x:v>Кемеровская теплосетевая компания</x:v>
      </x:c>
      <x:c r="B108" s="16" t="str">
        <x:v>2000909204-U121</x:v>
      </x:c>
      <x:c r="C108" s="16" t="str">
        <x:v>ПЛИТА П11 4100*1480 3916.21-АС1.2.И-П11</x:v>
      </x:c>
      <x:c r="D108" s="16" t="str">
        <x:v>Железобетонные изделия</x:v>
      </x:c>
      <x:c r="E108" s="16" t="str">
        <x:v>ШТ</x:v>
      </x:c>
      <x:c r="F108" s="21" t="n">
        <x:v>31</x:v>
      </x:c>
      <x:c r="G108" s="17" t="n">
        <x:v>85400</x:v>
      </x:c>
      <x:c r="H108" s="17" t="n">
        <x:f>G108*F108</x:f>
        <x:v>2647400</x:v>
      </x:c>
      <x:c r="I108" s="22" t="str">
        <x:f>HYPERLINK("https://etp-aktiv.ru/catalog/materialy/stroitelnye-materialy/2000909204-U121/","Открыть позицию")</x:f>
        <x:v>Открыть позицию</x:v>
      </x:c>
    </x:row>
    <x:row r="109" ht="28" customHeight="1">
      <x:c r="A109" s="16" t="str">
        <x:v>Кемеровская теплосетевая компания</x:v>
      </x:c>
      <x:c r="B109" s="16" t="str">
        <x:v>2000909453-U121</x:v>
      </x:c>
      <x:c r="C109" s="16" t="str">
        <x:v>ПЛИТА П12 4100*1440 3916.21-АС1.1.И-П12</x:v>
      </x:c>
      <x:c r="D109" s="16" t="str">
        <x:v>Железобетонные изделия</x:v>
      </x:c>
      <x:c r="E109" s="16" t="str">
        <x:v>ШТ</x:v>
      </x:c>
      <x:c r="F109" s="21" t="n">
        <x:v>1</x:v>
      </x:c>
      <x:c r="G109" s="17" t="n">
        <x:v>51735.625</x:v>
      </x:c>
      <x:c r="H109" s="17" t="n">
        <x:f>G109*F109</x:f>
        <x:v>51735.625</x:v>
      </x:c>
      <x:c r="I109" s="22" t="str">
        <x:f>HYPERLINK("https://etp-aktiv.ru/catalog/materialy/stroitelnye-materialy/2000909453-U121/","Открыть позицию")</x:f>
        <x:v>Открыть позицию</x:v>
      </x:c>
    </x:row>
    <x:row r="110" ht="28" customHeight="1">
      <x:c r="A110" s="16" t="str">
        <x:v>Кемеровская теплосетевая компания</x:v>
      </x:c>
      <x:c r="B110" s="16" t="str">
        <x:v>2000557101-U121</x:v>
      </x:c>
      <x:c r="C110" s="16" t="str">
        <x:v>ПЛИТА П12-12 С.3.006.1-2.87.2-36</x:v>
      </x:c>
      <x:c r="D110" s="16" t="str">
        <x:v>Железобетонные изделия</x:v>
      </x:c>
      <x:c r="E110" s="16" t="str">
        <x:v>ШТ</x:v>
      </x:c>
      <x:c r="F110" s="21" t="n">
        <x:v>7</x:v>
      </x:c>
      <x:c r="G110" s="17" t="n">
        <x:v>5572.349999999999</x:v>
      </x:c>
      <x:c r="H110" s="17" t="n">
        <x:f>G110*F110</x:f>
        <x:v>39006.45</x:v>
      </x:c>
      <x:c r="I110" s="22" t="str">
        <x:f>HYPERLINK("https://etp-aktiv.ru/catalog/materialy/stroitelnye-materialy/2000557101-U121/","Открыть позицию")</x:f>
        <x:v>Открыть позицию</x:v>
      </x:c>
    </x:row>
    <x:row r="111" ht="28" customHeight="1">
      <x:c r="A111" s="16" t="str">
        <x:v>Кемеровская теплосетевая компания</x:v>
      </x:c>
      <x:c r="B111" s="16" t="str">
        <x:v>2000870711-U121</x:v>
      </x:c>
      <x:c r="C111" s="16" t="str">
        <x:v>ПЛИТА П14 3500*1190*220 3906.21-АС Л65</x:v>
      </x:c>
      <x:c r="D111" s="16" t="str">
        <x:v>Железобетонные изделия</x:v>
      </x:c>
      <x:c r="E111" s="16" t="str">
        <x:v>ШТ</x:v>
      </x:c>
      <x:c r="F111" s="21" t="n">
        <x:v>1</x:v>
      </x:c>
      <x:c r="G111" s="17" t="n">
        <x:v>53985</x:v>
      </x:c>
      <x:c r="H111" s="17" t="n">
        <x:f>G111*F111</x:f>
        <x:v>53985</x:v>
      </x:c>
      <x:c r="I111" s="22" t="str">
        <x:f>HYPERLINK("https://etp-aktiv.ru/catalog/materialy/stroitelnye-materialy/2000870711-U121/","Открыть позицию")</x:f>
        <x:v>Открыть позицию</x:v>
      </x:c>
    </x:row>
    <x:row r="112" ht="28" customHeight="1">
      <x:c r="A112" s="16" t="str">
        <x:v>Кемеровская теплосетевая компания</x:v>
      </x:c>
      <x:c r="B112" s="16" t="str">
        <x:v>2000557119-U121</x:v>
      </x:c>
      <x:c r="C112" s="16" t="str">
        <x:v>ПЛИТА П16-15 С.3.006.1-2.87.2-40</x:v>
      </x:c>
      <x:c r="D112" s="16" t="str">
        <x:v>Железобетонные изделия</x:v>
      </x:c>
      <x:c r="E112" s="16" t="str">
        <x:v>ШТ</x:v>
      </x:c>
      <x:c r="F112" s="21" t="n">
        <x:v>2</x:v>
      </x:c>
      <x:c r="G112" s="17" t="n">
        <x:v>22939.5258</x:v>
      </x:c>
      <x:c r="H112" s="17" t="n">
        <x:f>G112*F112</x:f>
        <x:v>45879.0516</x:v>
      </x:c>
      <x:c r="I112" s="22" t="str">
        <x:f>HYPERLINK("https://etp-aktiv.ru/catalog/materialy/stroitelnye-materialy/2000557119-U121/","Открыть позицию")</x:f>
        <x:v>Открыть позицию</x:v>
      </x:c>
    </x:row>
    <x:row r="113" ht="28" customHeight="1">
      <x:c r="A113" s="16" t="str">
        <x:v>Кемеровская теплосетевая компания</x:v>
      </x:c>
      <x:c r="B113" s="16" t="str">
        <x:v>2000870709-U121</x:v>
      </x:c>
      <x:c r="C113" s="16" t="str">
        <x:v>ПЛИТА П2 2980*1190*220 3906.21-АС Л61</x:v>
      </x:c>
      <x:c r="D113" s="16" t="str">
        <x:v>Железобетонные изделия</x:v>
      </x:c>
      <x:c r="E113" s="16" t="str">
        <x:v>ШТ</x:v>
      </x:c>
      <x:c r="F113" s="21" t="n">
        <x:v>1</x:v>
      </x:c>
      <x:c r="G113" s="17" t="n">
        <x:v>49193.45</x:v>
      </x:c>
      <x:c r="H113" s="17" t="n">
        <x:f>G113*F113</x:f>
        <x:v>49193.45</x:v>
      </x:c>
      <x:c r="I113" s="22" t="str">
        <x:f>HYPERLINK("https://etp-aktiv.ru/catalog/materialy/stroitelnye-materialy/2000870709-U121/","Открыть позицию")</x:f>
        <x:v>Открыть позицию</x:v>
      </x:c>
    </x:row>
    <x:row r="114" ht="28" customHeight="1">
      <x:c r="A114" s="16" t="str">
        <x:v>Кемеровская теплосетевая компания</x:v>
      </x:c>
      <x:c r="B114" s="16" t="str">
        <x:v>2000803190-U121</x:v>
      </x:c>
      <x:c r="C114" s="16" t="str">
        <x:v>ПЛИТА П2 4000*1185*300 3793.21-АС.И-П2</x:v>
      </x:c>
      <x:c r="D114" s="16" t="str">
        <x:v>Железобетонные изделия</x:v>
      </x:c>
      <x:c r="E114" s="16" t="str">
        <x:v>ШТ</x:v>
      </x:c>
      <x:c r="F114" s="21" t="n">
        <x:v>1</x:v>
      </x:c>
      <x:c r="G114" s="17" t="n">
        <x:v>91683</x:v>
      </x:c>
      <x:c r="H114" s="17" t="n">
        <x:f>G114*F114</x:f>
        <x:v>91683</x:v>
      </x:c>
      <x:c r="I114" s="22" t="str">
        <x:f>HYPERLINK("https://etp-aktiv.ru/catalog/materialy/stroitelnye-materialy/2000803190-U121/","Открыть позицию")</x:f>
        <x:v>Открыть позицию</x:v>
      </x:c>
    </x:row>
    <x:row r="115" ht="28" customHeight="1">
      <x:c r="A115" s="16" t="str">
        <x:v>Кемеровская теплосетевая компания</x:v>
      </x:c>
      <x:c r="B115" s="16" t="str">
        <x:v>2000899506-U121</x:v>
      </x:c>
      <x:c r="C115" s="16" t="str">
        <x:v>ПЛИТА П2 4900*1190*220 4070.1-АС.И-П2</x:v>
      </x:c>
      <x:c r="D115" s="16" t="str">
        <x:v>Железобетонные изделия</x:v>
      </x:c>
      <x:c r="E115" s="16" t="str">
        <x:v>ШТ</x:v>
      </x:c>
      <x:c r="F115" s="21" t="n">
        <x:v>2</x:v>
      </x:c>
      <x:c r="G115" s="17" t="n">
        <x:v>60207</x:v>
      </x:c>
      <x:c r="H115" s="17" t="n">
        <x:f>G115*F115</x:f>
        <x:v>120414</x:v>
      </x:c>
      <x:c r="I115" s="22" t="str">
        <x:f>HYPERLINK("https://etp-aktiv.ru/catalog/materialy/stroitelnye-materialy/2000899506-U121/","Открыть позицию")</x:f>
        <x:v>Открыть позицию</x:v>
      </x:c>
    </x:row>
    <x:row r="116" ht="28" customHeight="1">
      <x:c r="A116" s="16" t="str">
        <x:v>Кемеровская теплосетевая компания</x:v>
      </x:c>
      <x:c r="B116" s="16" t="str">
        <x:v>2000557130-U121</x:v>
      </x:c>
      <x:c r="C116" s="16" t="str">
        <x:v>ПЛИТА П22Д-15 С.3.006.1-2.87</x:v>
      </x:c>
      <x:c r="D116" s="16" t="str">
        <x:v>Железобетонные изделия</x:v>
      </x:c>
      <x:c r="E116" s="16" t="str">
        <x:v>ШТ</x:v>
      </x:c>
      <x:c r="F116" s="21" t="n">
        <x:v>1</x:v>
      </x:c>
      <x:c r="G116" s="17" t="n">
        <x:v>8926.8742</x:v>
      </x:c>
      <x:c r="H116" s="17" t="n">
        <x:f>G116*F116</x:f>
        <x:v>8926.8742</x:v>
      </x:c>
      <x:c r="I116" s="22" t="str">
        <x:f>HYPERLINK("https://etp-aktiv.ru/catalog/materialy/stroitelnye-materialy/2000557130-U121/","Открыть позицию")</x:f>
        <x:v>Открыть позицию</x:v>
      </x:c>
    </x:row>
    <x:row r="117" ht="28" customHeight="1">
      <x:c r="A117" s="16" t="str">
        <x:v>Кемеровская теплосетевая компания</x:v>
      </x:c>
      <x:c r="B117" s="16" t="str">
        <x:v>2000879724-U121</x:v>
      </x:c>
      <x:c r="C117" s="16" t="str">
        <x:v>ПЛИТА П29 2980*890*220 3929.21-АС1.И-11</x:v>
      </x:c>
      <x:c r="D117" s="16" t="str">
        <x:v>Железобетонные изделия</x:v>
      </x:c>
      <x:c r="E117" s="16" t="str">
        <x:v>ШТ</x:v>
      </x:c>
      <x:c r="F117" s="21" t="n">
        <x:v>1</x:v>
      </x:c>
      <x:c r="G117" s="17" t="n">
        <x:v>24705</x:v>
      </x:c>
      <x:c r="H117" s="17" t="n">
        <x:f>G117*F117</x:f>
        <x:v>24705</x:v>
      </x:c>
      <x:c r="I117" s="22" t="str">
        <x:f>HYPERLINK("https://etp-aktiv.ru/catalog/materialy/stroitelnye-materialy/2000879724-U121/","Открыть позицию")</x:f>
        <x:v>Открыть позицию</x:v>
      </x:c>
    </x:row>
    <x:row r="118" ht="28" customHeight="1">
      <x:c r="A118" s="16" t="str">
        <x:v>Кемеровская теплосетевая компания</x:v>
      </x:c>
      <x:c r="B118" s="16" t="str">
        <x:v>2001033542-U121</x:v>
      </x:c>
      <x:c r="C118" s="16" t="str">
        <x:v>ПЛИТА П3 2980*890*220 4586.23-АС.И-П3</x:v>
      </x:c>
      <x:c r="D118" s="16" t="str">
        <x:v>Железобетонные изделия</x:v>
      </x:c>
      <x:c r="E118" s="16" t="str">
        <x:v>ШТ</x:v>
      </x:c>
      <x:c r="F118" s="21" t="n">
        <x:v>1</x:v>
      </x:c>
      <x:c r="G118" s="17" t="n">
        <x:v>35494.2286</x:v>
      </x:c>
      <x:c r="H118" s="17" t="n">
        <x:f>G118*F118</x:f>
        <x:v>35494.2286</x:v>
      </x:c>
      <x:c r="I118" s="22" t="str">
        <x:f>HYPERLINK("https://etp-aktiv.ru/catalog/materialy/stroitelnye-materialy/2001033542-U121/","Открыть позицию")</x:f>
        <x:v>Открыть позицию</x:v>
      </x:c>
    </x:row>
    <x:row r="119" ht="28" customHeight="1">
      <x:c r="A119" s="16" t="str">
        <x:v>Кемеровская теплосетевая компания</x:v>
      </x:c>
      <x:c r="B119" s="16" t="str">
        <x:v>2000980222-U121</x:v>
      </x:c>
      <x:c r="C119" s="16" t="str">
        <x:v>ПЛИТА П3 314/01-12-2022-АС.И-П3</x:v>
      </x:c>
      <x:c r="D119" s="16" t="str">
        <x:v>Железобетонные изделия</x:v>
      </x:c>
      <x:c r="E119" s="16" t="str">
        <x:v>ШТ</x:v>
      </x:c>
      <x:c r="F119" s="21" t="n">
        <x:v>2</x:v>
      </x:c>
      <x:c r="G119" s="17" t="n">
        <x:v>34312.5</x:v>
      </x:c>
      <x:c r="H119" s="17" t="n">
        <x:f>G119*F119</x:f>
        <x:v>68625</x:v>
      </x:c>
      <x:c r="I119" s="22" t="str">
        <x:f>HYPERLINK("https://etp-aktiv.ru/catalog/materialy/stroitelnye-materialy/2000980222-U121/","Открыть позицию")</x:f>
        <x:v>Открыть позицию</x:v>
      </x:c>
    </x:row>
    <x:row r="120" ht="28" customHeight="1">
      <x:c r="A120" s="16" t="str">
        <x:v>Кемеровская теплосетевая компания</x:v>
      </x:c>
      <x:c r="B120" s="16" t="str">
        <x:v>2000899507-U121</x:v>
      </x:c>
      <x:c r="C120" s="16" t="str">
        <x:v>ПЛИТА П3 4900*1190*220 4070.1-АС.И-П3</x:v>
      </x:c>
      <x:c r="D120" s="16" t="str">
        <x:v>Железобетонные изделия</x:v>
      </x:c>
      <x:c r="E120" s="16" t="str">
        <x:v>ШТ</x:v>
      </x:c>
      <x:c r="F120" s="21" t="n">
        <x:v>1</x:v>
      </x:c>
      <x:c r="G120" s="17" t="n">
        <x:v>50082.525</x:v>
      </x:c>
      <x:c r="H120" s="17" t="n">
        <x:f>G120*F120</x:f>
        <x:v>50082.525</x:v>
      </x:c>
      <x:c r="I120" s="22" t="str">
        <x:f>HYPERLINK("https://etp-aktiv.ru/catalog/materialy/stroitelnye-materialy/2000899507-U121/","Открыть позицию")</x:f>
        <x:v>Открыть позицию</x:v>
      </x:c>
    </x:row>
    <x:row r="121" ht="28" customHeight="1">
      <x:c r="A121" s="16" t="str">
        <x:v>Кемеровская теплосетевая компания</x:v>
      </x:c>
      <x:c r="B121" s="16" t="str">
        <x:v>2001037791-U121</x:v>
      </x:c>
      <x:c r="C121" s="16" t="str">
        <x:v>ПЛИТА П31 4500*1185*300 4590.23-АС.И-П31</x:v>
      </x:c>
      <x:c r="D121" s="16" t="str">
        <x:v>Железобетонные изделия</x:v>
      </x:c>
      <x:c r="E121" s="16" t="str">
        <x:v>ШТ</x:v>
      </x:c>
      <x:c r="F121" s="21" t="n">
        <x:v>2</x:v>
      </x:c>
      <x:c r="G121" s="17" t="n">
        <x:v>73581.25</x:v>
      </x:c>
      <x:c r="H121" s="17" t="n">
        <x:f>G121*F121</x:f>
        <x:v>147162.5</x:v>
      </x:c>
      <x:c r="I121" s="22" t="str">
        <x:f>HYPERLINK("https://etp-aktiv.ru/catalog/materialy/stroitelnye-materialy/2001037791-U121/","Открыть позицию")</x:f>
        <x:v>Открыть позицию</x:v>
      </x:c>
    </x:row>
    <x:row r="122" ht="28" customHeight="1">
      <x:c r="A122" s="16" t="str">
        <x:v>Кемеровская теплосетевая компания</x:v>
      </x:c>
      <x:c r="B122" s="16" t="str">
        <x:v>2001021427-U121</x:v>
      </x:c>
      <x:c r="C122" s="16" t="str">
        <x:v>ПЛИТА П32 4500*885*300 4372.23-АС.И-П32</x:v>
      </x:c>
      <x:c r="D122" s="16" t="str">
        <x:v>Железобетонные изделия</x:v>
      </x:c>
      <x:c r="E122" s="16" t="str">
        <x:v>ШТ</x:v>
      </x:c>
      <x:c r="F122" s="21" t="n">
        <x:v>1</x:v>
      </x:c>
      <x:c r="G122" s="17" t="n">
        <x:v>60008.75</x:v>
      </x:c>
      <x:c r="H122" s="17" t="n">
        <x:f>G122*F122</x:f>
        <x:v>60008.75</x:v>
      </x:c>
      <x:c r="I122" s="22" t="str">
        <x:f>HYPERLINK("https://etp-aktiv.ru/catalog/materialy/stroitelnye-materialy/2001021427-U121/","Открыть позицию")</x:f>
        <x:v>Открыть позицию</x:v>
      </x:c>
    </x:row>
    <x:row r="123" ht="28" customHeight="1">
      <x:c r="A123" s="16" t="str">
        <x:v>Кемеровская теплосетевая компания</x:v>
      </x:c>
      <x:c r="B123" s="16" t="str">
        <x:v>2001037778-U121</x:v>
      </x:c>
      <x:c r="C123" s="16" t="str">
        <x:v>ПЛИТА П32 4500*885*300 4590.23-АС.И-П32</x:v>
      </x:c>
      <x:c r="D123" s="16" t="str">
        <x:v>Железобетонные изделия</x:v>
      </x:c>
      <x:c r="E123" s="16" t="str">
        <x:v>ШТ</x:v>
      </x:c>
      <x:c r="F123" s="21" t="n">
        <x:v>3</x:v>
      </x:c>
      <x:c r="G123" s="17" t="n">
        <x:v>50553.75</x:v>
      </x:c>
      <x:c r="H123" s="17" t="n">
        <x:f>G123*F123</x:f>
        <x:v>151661.25</x:v>
      </x:c>
      <x:c r="I123" s="22" t="str">
        <x:f>HYPERLINK("https://etp-aktiv.ru/catalog/materialy/stroitelnye-materialy/2001037778-U121/","Открыть позицию")</x:f>
        <x:v>Открыть позицию</x:v>
      </x:c>
    </x:row>
    <x:row r="124" ht="28" customHeight="1">
      <x:c r="A124" s="16" t="str">
        <x:v>Кемеровская теплосетевая компания</x:v>
      </x:c>
      <x:c r="B124" s="16" t="str">
        <x:v>2000871339-U121</x:v>
      </x:c>
      <x:c r="C124" s="16" t="str">
        <x:v>ПЛИТА П4 2980*1190*220 3906.21-АС Л63</x:v>
      </x:c>
      <x:c r="D124" s="16" t="str">
        <x:v>Железобетонные изделия</x:v>
      </x:c>
      <x:c r="E124" s="16" t="str">
        <x:v>ШТ</x:v>
      </x:c>
      <x:c r="F124" s="21" t="n">
        <x:v>2</x:v>
      </x:c>
      <x:c r="G124" s="17" t="n">
        <x:v>47671.5</x:v>
      </x:c>
      <x:c r="H124" s="17" t="n">
        <x:f>G124*F124</x:f>
        <x:v>95343</x:v>
      </x:c>
      <x:c r="I124" s="22" t="str">
        <x:f>HYPERLINK("https://etp-aktiv.ru/catalog/materialy/stroitelnye-materialy/2000871339-U121/","Открыть позицию")</x:f>
        <x:v>Открыть позицию</x:v>
      </x:c>
    </x:row>
    <x:row r="125" ht="28" customHeight="1">
      <x:c r="A125" s="16" t="str">
        <x:v>Кемеровская теплосетевая компания</x:v>
      </x:c>
      <x:c r="B125" s="16" t="str">
        <x:v>2000980223-U121</x:v>
      </x:c>
      <x:c r="C125" s="16" t="str">
        <x:v>ПЛИТА П4 314/01-12-2022-АС.И-П4</x:v>
      </x:c>
      <x:c r="D125" s="16" t="str">
        <x:v>Железобетонные изделия</x:v>
      </x:c>
      <x:c r="E125" s="16" t="str">
        <x:v>ШТ</x:v>
      </x:c>
      <x:c r="F125" s="21" t="n">
        <x:v>3</x:v>
      </x:c>
      <x:c r="G125" s="17" t="n">
        <x:v>35932.049999999996</x:v>
      </x:c>
      <x:c r="H125" s="17" t="n">
        <x:f>G125*F125</x:f>
        <x:v>107796.15</x:v>
      </x:c>
      <x:c r="I125" s="22" t="str">
        <x:f>HYPERLINK("https://etp-aktiv.ru/catalog/materialy/stroitelnye-materialy/2000980223-U121/","Открыть позицию")</x:f>
        <x:v>Открыть позицию</x:v>
      </x:c>
    </x:row>
    <x:row r="126" ht="28" customHeight="1">
      <x:c r="A126" s="16" t="str">
        <x:v>Кемеровская теплосетевая компания</x:v>
      </x:c>
      <x:c r="B126" s="16" t="str">
        <x:v>2000980224-U121</x:v>
      </x:c>
      <x:c r="C126" s="16" t="str">
        <x:v>ПЛИТА П5 314/01-12-2022-АС.И-П5</x:v>
      </x:c>
      <x:c r="D126" s="16" t="str">
        <x:v>Железобетонные изделия</x:v>
      </x:c>
      <x:c r="E126" s="16" t="str">
        <x:v>ШТ</x:v>
      </x:c>
      <x:c r="F126" s="21" t="n">
        <x:v>1</x:v>
      </x:c>
      <x:c r="G126" s="17" t="n">
        <x:v>45205.575</x:v>
      </x:c>
      <x:c r="H126" s="17" t="n">
        <x:f>G126*F126</x:f>
        <x:v>45205.575</x:v>
      </x:c>
      <x:c r="I126" s="22" t="str">
        <x:f>HYPERLINK("https://etp-aktiv.ru/catalog/materialy/stroitelnye-materialy/2000980224-U121/","Открыть позицию")</x:f>
        <x:v>Открыть позицию</x:v>
      </x:c>
    </x:row>
    <x:row r="127" ht="28" customHeight="1">
      <x:c r="A127" s="16" t="str">
        <x:v>Кемеровская теплосетевая компания</x:v>
      </x:c>
      <x:c r="B127" s="16" t="str">
        <x:v>2000899509-U121</x:v>
      </x:c>
      <x:c r="C127" s="16" t="str">
        <x:v>ПЛИТА П5 3700*3300*220 4070.1-АС.И-П5</x:v>
      </x:c>
      <x:c r="D127" s="16" t="str">
        <x:v>Железобетонные изделия</x:v>
      </x:c>
      <x:c r="E127" s="16" t="str">
        <x:v>ШТ</x:v>
      </x:c>
      <x:c r="F127" s="21" t="n">
        <x:v>1</x:v>
      </x:c>
      <x:c r="G127" s="17" t="n">
        <x:v>113231.25</x:v>
      </x:c>
      <x:c r="H127" s="17" t="n">
        <x:f>G127*F127</x:f>
        <x:v>113231.25</x:v>
      </x:c>
      <x:c r="I127" s="22" t="str">
        <x:f>HYPERLINK("https://etp-aktiv.ru/catalog/materialy/stroitelnye-materialy/2000899509-U121/","Открыть позицию")</x:f>
        <x:v>Открыть позицию</x:v>
      </x:c>
    </x:row>
    <x:row r="128" ht="28" customHeight="1">
      <x:c r="A128" s="16" t="str">
        <x:v>Кемеровская теплосетевая компания</x:v>
      </x:c>
      <x:c r="B128" s="16" t="str">
        <x:v>2000903677-U121</x:v>
      </x:c>
      <x:c r="C128" s="16" t="str">
        <x:v>ПЛИТА П6 6100*1190*220 3984.21-7-АС.И-П6</x:v>
      </x:c>
      <x:c r="D128" s="16" t="str">
        <x:v>Железобетонные изделия</x:v>
      </x:c>
      <x:c r="E128" s="16" t="str">
        <x:v>ШТ</x:v>
      </x:c>
      <x:c r="F128" s="21" t="n">
        <x:v>1</x:v>
      </x:c>
      <x:c r="G128" s="17" t="n">
        <x:v>70588.4314</x:v>
      </x:c>
      <x:c r="H128" s="17" t="n">
        <x:f>G128*F128</x:f>
        <x:v>70588.4314</x:v>
      </x:c>
      <x:c r="I128" s="22" t="str">
        <x:f>HYPERLINK("https://etp-aktiv.ru/catalog/materialy/stroitelnye-materialy/2000903677-U121/","Открыть позицию")</x:f>
        <x:v>Открыть позицию</x:v>
      </x:c>
    </x:row>
    <x:row r="129" ht="28" customHeight="1">
      <x:c r="A129" s="16" t="str">
        <x:v>Кемеровская теплосетевая компания</x:v>
      </x:c>
      <x:c r="B129" s="16" t="str">
        <x:v>2000362207-U121</x:v>
      </x:c>
      <x:c r="C129" s="16" t="str">
        <x:v>ПЛИТА П7Д-5 С.3.006.1-2.87</x:v>
      </x:c>
      <x:c r="D129" s="16" t="str">
        <x:v>Железобетонные изделия</x:v>
      </x:c>
      <x:c r="E129" s="16" t="str">
        <x:v>ШТ</x:v>
      </x:c>
      <x:c r="F129" s="21" t="n">
        <x:v>4</x:v>
      </x:c>
      <x:c r="G129" s="17" t="n">
        <x:v>876.875</x:v>
      </x:c>
      <x:c r="H129" s="17" t="n">
        <x:f>G129*F129</x:f>
        <x:v>3507.5</x:v>
      </x:c>
      <x:c r="I129" s="22" t="str">
        <x:f>HYPERLINK("https://etp-aktiv.ru/catalog/materialy/stroitelnye-materialy/2000362207-U121/","Открыть позицию")</x:f>
        <x:v>Открыть позицию</x:v>
      </x:c>
    </x:row>
    <x:row r="130" ht="28" customHeight="1">
      <x:c r="A130" s="16" t="str">
        <x:v>Кемеровская теплосетевая компания</x:v>
      </x:c>
      <x:c r="B130" s="16" t="str">
        <x:v>2000903678-U121</x:v>
      </x:c>
      <x:c r="C130" s="16" t="str">
        <x:v>ПЛИТА П8 6100*1190*220 3984.21-7-АС.И-П8</x:v>
      </x:c>
      <x:c r="D130" s="16" t="str">
        <x:v>Железобетонные изделия</x:v>
      </x:c>
      <x:c r="E130" s="16" t="str">
        <x:v>ШТ</x:v>
      </x:c>
      <x:c r="F130" s="21" t="n">
        <x:v>4</x:v>
      </x:c>
      <x:c r="G130" s="17" t="n">
        <x:v>72780.625</x:v>
      </x:c>
      <x:c r="H130" s="17" t="n">
        <x:f>G130*F130</x:f>
        <x:v>291122.5</x:v>
      </x:c>
      <x:c r="I130" s="22" t="str">
        <x:f>HYPERLINK("https://etp-aktiv.ru/catalog/materialy/stroitelnye-materialy/2000903678-U121/","Открыть позицию")</x:f>
        <x:v>Открыть позицию</x:v>
      </x:c>
    </x:row>
    <x:row r="131" ht="28" customHeight="1">
      <x:c r="A131" s="16" t="str">
        <x:v>Кемеровская теплосетевая компания</x:v>
      </x:c>
      <x:c r="B131" s="16" t="str">
        <x:v>2000557168-U121</x:v>
      </x:c>
      <x:c r="C131" s="16" t="str">
        <x:v>ПЛИТА ПЕРЕКР П28-12 С.3.006.1-2.87 В.2</x:v>
      </x:c>
      <x:c r="D131" s="16" t="str">
        <x:v>Железобетонные изделия</x:v>
      </x:c>
      <x:c r="E131" s="16" t="str">
        <x:v>ШТ</x:v>
      </x:c>
      <x:c r="F131" s="21" t="n">
        <x:v>2</x:v>
      </x:c>
      <x:c r="G131" s="17" t="n">
        <x:v>60864.885</x:v>
      </x:c>
      <x:c r="H131" s="17" t="n">
        <x:f>G131*F131</x:f>
        <x:v>121729.77</x:v>
      </x:c>
      <x:c r="I131" s="22" t="str">
        <x:f>HYPERLINK("https://etp-aktiv.ru/catalog/materialy/stroitelnye-materialy/2000557168-U121/","Открыть позицию")</x:f>
        <x:v>Открыть позицию</x:v>
      </x:c>
    </x:row>
    <x:row r="132" ht="28" customHeight="1">
      <x:c r="A132" s="16" t="str">
        <x:v>Кемеровская теплосетевая компания</x:v>
      </x:c>
      <x:c r="B132" s="16" t="str">
        <x:v>2000557160-U121</x:v>
      </x:c>
      <x:c r="C132" s="16" t="str">
        <x:v>ПЛИТА ПЕРЕКРЫТИЯ П 10Д-5 С.3.006.1-2.87</x:v>
      </x:c>
      <x:c r="D132" s="16" t="str">
        <x:v>Железобетонные изделия</x:v>
      </x:c>
      <x:c r="E132" s="16" t="str">
        <x:v>ШТ</x:v>
      </x:c>
      <x:c r="F132" s="21" t="n">
        <x:v>3</x:v>
      </x:c>
      <x:c r="G132" s="17" t="n">
        <x:v>2436.2546</x:v>
      </x:c>
      <x:c r="H132" s="17" t="n">
        <x:f>G132*F132</x:f>
        <x:v>7308.763800000001</x:v>
      </x:c>
      <x:c r="I132" s="22" t="str">
        <x:f>HYPERLINK("https://etp-aktiv.ru/catalog/materialy/stroitelnye-materialy/2000557160-U121/","Открыть позицию")</x:f>
        <x:v>Открыть позицию</x:v>
      </x:c>
    </x:row>
    <x:row r="133" ht="28" customHeight="1">
      <x:c r="A133" s="16" t="str">
        <x:v>Кемеровская теплосетевая компания</x:v>
      </x:c>
      <x:c r="B133" s="16" t="str">
        <x:v>2001021811-U121</x:v>
      </x:c>
      <x:c r="C133" s="16" t="str">
        <x:v>ПЛИТА ПЕРЕКРЫТИЯ П31 4370.23-АС.И-П31</x:v>
      </x:c>
      <x:c r="D133" s="16" t="str">
        <x:v>Железобетонные изделия</x:v>
      </x:c>
      <x:c r="E133" s="16" t="str">
        <x:v>ШТ</x:v>
      </x:c>
      <x:c r="F133" s="21" t="n">
        <x:v>2</x:v>
      </x:c>
      <x:c r="G133" s="17" t="n">
        <x:v>75563.7622</x:v>
      </x:c>
      <x:c r="H133" s="17" t="n">
        <x:f>G133*F133</x:f>
        <x:v>151127.5244</x:v>
      </x:c>
      <x:c r="I133" s="22" t="str">
        <x:f>HYPERLINK("https://etp-aktiv.ru/catalog/materialy/stroitelnye-materialy/2001021811-U121/","Открыть позицию")</x:f>
        <x:v>Открыть позицию</x:v>
      </x:c>
    </x:row>
    <x:row r="134" ht="28" customHeight="1">
      <x:c r="A134" s="16" t="str">
        <x:v>Кемеровская теплосетевая компания</x:v>
      </x:c>
      <x:c r="B134" s="16" t="str">
        <x:v>2001021813-U121</x:v>
      </x:c>
      <x:c r="C134" s="16" t="str">
        <x:v>ПЛИТА ПЕРЕКРЫТИЯ П32 4370.23-АС.И-П32</x:v>
      </x:c>
      <x:c r="D134" s="16" t="str">
        <x:v>Железобетонные изделия</x:v>
      </x:c>
      <x:c r="E134" s="16" t="str">
        <x:v>ШТ</x:v>
      </x:c>
      <x:c r="F134" s="21" t="n">
        <x:v>4</x:v>
      </x:c>
      <x:c r="G134" s="17" t="n">
        <x:v>60008.75</x:v>
      </x:c>
      <x:c r="H134" s="17" t="n">
        <x:f>G134*F134</x:f>
        <x:v>240035</x:v>
      </x:c>
      <x:c r="I134" s="22" t="str">
        <x:f>HYPERLINK("https://etp-aktiv.ru/catalog/materialy/stroitelnye-materialy/2001021813-U121/","Открыть позицию")</x:f>
        <x:v>Открыть позицию</x:v>
      </x:c>
    </x:row>
    <x:row r="135" ht="28" customHeight="1">
      <x:c r="A135" s="16" t="str">
        <x:v>Кемеровская теплосетевая компания</x:v>
      </x:c>
      <x:c r="B135" s="16" t="str">
        <x:v>2000870698-U121</x:v>
      </x:c>
      <x:c r="C135" s="16" t="str">
        <x:v>ПЛИТА ПЛ-1 2990*2160*250 3906.21-АС Л71</x:v>
      </x:c>
      <x:c r="D135" s="16" t="str">
        <x:v>Железобетонные изделия</x:v>
      </x:c>
      <x:c r="E135" s="16" t="str">
        <x:v>ШТ</x:v>
      </x:c>
      <x:c r="F135" s="21" t="n">
        <x:v>1</x:v>
      </x:c>
      <x:c r="G135" s="17" t="n">
        <x:v>87013.4378</x:v>
      </x:c>
      <x:c r="H135" s="17" t="n">
        <x:f>G135*F135</x:f>
        <x:v>87013.4378</x:v>
      </x:c>
      <x:c r="I135" s="22" t="str">
        <x:f>HYPERLINK("https://etp-aktiv.ru/catalog/materialy/stroitelnye-materialy/2000870698-U121/","Открыть позицию")</x:f>
        <x:v>Открыть позицию</x:v>
      </x:c>
    </x:row>
    <x:row r="136" ht="28" customHeight="1">
      <x:c r="A136" s="16" t="str">
        <x:v>Кемеровская теплосетевая компания</x:v>
      </x:c>
      <x:c r="B136" s="16" t="str">
        <x:v>2000705231-U121</x:v>
      </x:c>
      <x:c r="C136" s="16" t="str">
        <x:v>ПЛИТА ПЛ-1 5080*1190*220 3526.20-АС</x:v>
      </x:c>
      <x:c r="D136" s="16" t="str">
        <x:v>Железобетонные изделия</x:v>
      </x:c>
      <x:c r="E136" s="16" t="str">
        <x:v>ШТ</x:v>
      </x:c>
      <x:c r="F136" s="21" t="n">
        <x:v>3</x:v>
      </x:c>
      <x:c r="G136" s="17" t="n">
        <x:v>48647.5</x:v>
      </x:c>
      <x:c r="H136" s="17" t="n">
        <x:f>G136*F136</x:f>
        <x:v>145942.5</x:v>
      </x:c>
      <x:c r="I136" s="22" t="str">
        <x:f>HYPERLINK("https://etp-aktiv.ru/catalog/materialy/stroitelnye-materialy/2000705231-U121/","Открыть позицию")</x:f>
        <x:v>Открыть позицию</x:v>
      </x:c>
    </x:row>
    <x:row r="137" ht="28" customHeight="1">
      <x:c r="A137" s="16" t="str">
        <x:v>Кемеровская теплосетевая компания</x:v>
      </x:c>
      <x:c r="B137" s="16" t="str">
        <x:v>2000705232-U121</x:v>
      </x:c>
      <x:c r="C137" s="16" t="str">
        <x:v>ПЛИТА ПЛ-2 5080*1190*220 3526.20-АС</x:v>
      </x:c>
      <x:c r="D137" s="16" t="str">
        <x:v>Железобетонные изделия</x:v>
      </x:c>
      <x:c r="E137" s="16" t="str">
        <x:v>ШТ</x:v>
      </x:c>
      <x:c r="F137" s="21" t="n">
        <x:v>2</x:v>
      </x:c>
      <x:c r="G137" s="17" t="n">
        <x:v>49692.137200000005</x:v>
      </x:c>
      <x:c r="H137" s="17" t="n">
        <x:f>G137*F137</x:f>
        <x:v>99384.27440000001</x:v>
      </x:c>
      <x:c r="I137" s="22" t="str">
        <x:f>HYPERLINK("https://etp-aktiv.ru/catalog/materialy/stroitelnye-materialy/2000705232-U121/","Открыть позицию")</x:f>
        <x:v>Открыть позицию</x:v>
      </x:c>
    </x:row>
    <x:row r="138" ht="28" customHeight="1">
      <x:c r="A138" s="16" t="str">
        <x:v>Кемеровская теплосетевая компания</x:v>
      </x:c>
      <x:c r="B138" s="16" t="str">
        <x:v>2000320981-U121</x:v>
      </x:c>
      <x:c r="C138" s="16" t="str">
        <x:v>ПЛИТА ПН-10 С.3.900.1-14 В.1</x:v>
      </x:c>
      <x:c r="D138" s="16" t="str">
        <x:v>Железобетонные изделия</x:v>
      </x:c>
      <x:c r="E138" s="16" t="str">
        <x:v>ШТ</x:v>
      </x:c>
      <x:c r="F138" s="21" t="n">
        <x:v>2</x:v>
      </x:c>
      <x:c r="G138" s="17" t="n">
        <x:v>3577.3084</x:v>
      </x:c>
      <x:c r="H138" s="17" t="n">
        <x:f>G138*F138</x:f>
        <x:v>7154.6168</x:v>
      </x:c>
      <x:c r="I138" s="22" t="str">
        <x:f>HYPERLINK("https://etp-aktiv.ru/catalog/materialy/stroitelnye-materialy/2000320981-U121/","Открыть позицию")</x:f>
        <x:v>Открыть позицию</x:v>
      </x:c>
    </x:row>
    <x:row r="139" ht="28" customHeight="1">
      <x:c r="A139" s="16" t="str">
        <x:v>Кемеровская теплосетевая компания</x:v>
      </x:c>
      <x:c r="B139" s="16" t="str">
        <x:v>2000557243-U121</x:v>
      </x:c>
      <x:c r="C139" s="16" t="str">
        <x:v>ПЛИТА ПТО 150.180.14-6 С.3.006.1-8</x:v>
      </x:c>
      <x:c r="D139" s="16" t="str">
        <x:v>Железобетонные изделия</x:v>
      </x:c>
      <x:c r="E139" s="16" t="str">
        <x:v>ШТ</x:v>
      </x:c>
      <x:c r="F139" s="21" t="n">
        <x:v>2</x:v>
      </x:c>
      <x:c r="G139" s="17" t="n">
        <x:v>9561.75</x:v>
      </x:c>
      <x:c r="H139" s="17" t="n">
        <x:f>G139*F139</x:f>
        <x:v>19123.5</x:v>
      </x:c>
      <x:c r="I139" s="22" t="str">
        <x:f>HYPERLINK("https://etp-aktiv.ru/catalog/materialy/stroitelnye-materialy/2000557243-U121/","Открыть позицию")</x:f>
        <x:v>Открыть позицию</x:v>
      </x:c>
    </x:row>
    <x:row r="140" ht="28" customHeight="1">
      <x:c r="A140" s="16" t="str">
        <x:v>Кемеровская теплосетевая компания</x:v>
      </x:c>
      <x:c r="B140" s="16" t="str">
        <x:v>2000557244-U121</x:v>
      </x:c>
      <x:c r="C140" s="16" t="str">
        <x:v>ПЛИТА ПТО 200.240.14-6 С.3.006.1-8</x:v>
      </x:c>
      <x:c r="D140" s="16" t="str">
        <x:v>Железобетонные изделия</x:v>
      </x:c>
      <x:c r="E140" s="16" t="str">
        <x:v>ШТ</x:v>
      </x:c>
      <x:c r="F140" s="21" t="n">
        <x:v>3</x:v>
      </x:c>
      <x:c r="G140" s="17" t="n">
        <x:v>26279.715</x:v>
      </x:c>
      <x:c r="H140" s="17" t="n">
        <x:f>G140*F140</x:f>
        <x:v>78839.145</x:v>
      </x:c>
      <x:c r="I140" s="22" t="str">
        <x:f>HYPERLINK("https://etp-aktiv.ru/catalog/materialy/stroitelnye-materialy/2000557244-U121/","Открыть позицию")</x:f>
        <x:v>Открыть позицию</x:v>
      </x:c>
    </x:row>
    <x:row r="141" ht="28" customHeight="1">
      <x:c r="A141" s="16" t="str">
        <x:v>Кемеровская теплосетевая компания</x:v>
      </x:c>
      <x:c r="B141" s="16" t="str">
        <x:v>2000361910-U121</x:v>
      </x:c>
      <x:c r="C141" s="16" t="str">
        <x:v>ПОДВЕС ПОТОЛОЧНЫЙ ЕВРО-500 D2,5ММ</x:v>
      </x:c>
      <x:c r="D141" s="16" t="str">
        <x:v>Строительные материалы прочие</x:v>
      </x:c>
      <x:c r="E141" s="16" t="str">
        <x:v>ШТ</x:v>
      </x:c>
      <x:c r="F141" s="21" t="n">
        <x:v>51</x:v>
      </x:c>
      <x:c r="G141" s="17" t="n">
        <x:v>8.3082</x:v>
      </x:c>
      <x:c r="H141" s="17" t="n">
        <x:f>G141*F141</x:f>
        <x:v>423.71819999999997</x:v>
      </x:c>
      <x:c r="I141" s="22" t="str">
        <x:f>HYPERLINK("https://etp-aktiv.ru/catalog/materialy/stroitelnye-materialy/2000361910-U121/","Открыть позицию")</x:f>
        <x:v>Открыть позицию</x:v>
      </x:c>
    </x:row>
    <x:row r="142" ht="28" customHeight="1">
      <x:c r="A142" s="16" t="str">
        <x:v>Кемеровская теплосетевая компания</x:v>
      </x:c>
      <x:c r="B142" s="16" t="str">
        <x:v>2000454897-U121</x:v>
      </x:c>
      <x:c r="C142" s="16" t="str">
        <x:v>ПОДОКОННИК ПВХ ЛИДЕР БЕЛЫЙ 400*6000</x:v>
      </x:c>
      <x:c r="D142" s="16" t="str">
        <x:v>Строительные материалы прочие</x:v>
      </x:c>
      <x:c r="E142" s="16" t="str">
        <x:v>М</x:v>
      </x:c>
      <x:c r="F142" s="21" t="n">
        <x:v>4</x:v>
      </x:c>
      <x:c r="G142" s="17" t="n">
        <x:v>2745</x:v>
      </x:c>
      <x:c r="H142" s="17" t="n">
        <x:f>G142*F142</x:f>
        <x:v>10980</x:v>
      </x:c>
      <x:c r="I142" s="22" t="str">
        <x:f>HYPERLINK("https://etp-aktiv.ru/catalog/materialy/stroitelnye-materialy/2000454897-U121/","Открыть позицию")</x:f>
        <x:v>Открыть позицию</x:v>
      </x:c>
    </x:row>
    <x:row r="143" ht="28" customHeight="1">
      <x:c r="A143" s="16" t="str">
        <x:v>Кемеровская теплосетевая компания</x:v>
      </x:c>
      <x:c r="B143" s="16" t="str">
        <x:v>2000699032-U121</x:v>
      </x:c>
      <x:c r="C143" s="16" t="str">
        <x:v>ПОДУШКА ОП1 850*1050*140 3488.20АС.И-ОП1</x:v>
      </x:c>
      <x:c r="D143" s="16" t="str">
        <x:v>Железобетонные изделия</x:v>
      </x:c>
      <x:c r="E143" s="16" t="str">
        <x:v>ШТ</x:v>
      </x:c>
      <x:c r="F143" s="21" t="n">
        <x:v>4</x:v>
      </x:c>
      <x:c r="G143" s="17" t="n">
        <x:v>6671.875</x:v>
      </x:c>
      <x:c r="H143" s="17" t="n">
        <x:f>G143*F143</x:f>
        <x:v>26687.5</x:v>
      </x:c>
      <x:c r="I143" s="22" t="str">
        <x:f>HYPERLINK("https://etp-aktiv.ru/catalog/materialy/stroitelnye-materialy/2000699032-U121/","Открыть позицию")</x:f>
        <x:v>Открыть позицию</x:v>
      </x:c>
    </x:row>
    <x:row r="144" ht="28" customHeight="1">
      <x:c r="A144" s="16" t="str">
        <x:v>Кемеровская теплосетевая компания</x:v>
      </x:c>
      <x:c r="B144" s="16" t="str">
        <x:v>2000908748-U121</x:v>
      </x:c>
      <x:c r="C144" s="16" t="str">
        <x:v>ПОДУШКА ОП2 750*850 3916.21-АС1.2.И-ОП2</x:v>
      </x:c>
      <x:c r="D144" s="16" t="str">
        <x:v>Железобетонные изделия</x:v>
      </x:c>
      <x:c r="E144" s="16" t="str">
        <x:v>ШТ</x:v>
      </x:c>
      <x:c r="F144" s="21" t="n">
        <x:v>12</x:v>
      </x:c>
      <x:c r="G144" s="17" t="n">
        <x:v>4384.375</x:v>
      </x:c>
      <x:c r="H144" s="17" t="n">
        <x:f>G144*F144</x:f>
        <x:v>52612.5</x:v>
      </x:c>
      <x:c r="I144" s="22" t="str">
        <x:f>HYPERLINK("https://etp-aktiv.ru/catalog/materialy/stroitelnye-materialy/2000908748-U121/","Открыть позицию")</x:f>
        <x:v>Открыть позицию</x:v>
      </x:c>
    </x:row>
    <x:row r="145" ht="28" customHeight="1">
      <x:c r="A145" s="16" t="str">
        <x:v>Кемеровская теплосетевая компания</x:v>
      </x:c>
      <x:c r="B145" s="16" t="str">
        <x:v>2000972010-U121</x:v>
      </x:c>
      <x:c r="C145" s="16" t="str">
        <x:v>ПОДУШКА ОПОРН ОП400*400*40 22/617-2-2-АС</x:v>
      </x:c>
      <x:c r="D145" s="16" t="str">
        <x:v>Железобетонные изделия</x:v>
      </x:c>
      <x:c r="E145" s="16" t="str">
        <x:v>ШТ</x:v>
      </x:c>
      <x:c r="F145" s="21" t="n">
        <x:v>8</x:v>
      </x:c>
      <x:c r="G145" s="17" t="n">
        <x:v>2064.0814</x:v>
      </x:c>
      <x:c r="H145" s="17" t="n">
        <x:f>G145*F145</x:f>
        <x:v>16512.6512</x:v>
      </x:c>
      <x:c r="I145" s="22" t="str">
        <x:f>HYPERLINK("https://etp-aktiv.ru/catalog/materialy/stroitelnye-materialy/2000972010-U121/","Открыть позицию")</x:f>
        <x:v>Открыть позицию</x:v>
      </x:c>
    </x:row>
    <x:row r="146" ht="28" customHeight="1">
      <x:c r="A146" s="16" t="str">
        <x:v>Кемеровская теплосетевая компания</x:v>
      </x:c>
      <x:c r="B146" s="16" t="str">
        <x:v>2000557270-U121</x:v>
      </x:c>
      <x:c r="C146" s="16" t="str">
        <x:v>ПОДУШКА ОПОРНАЯ ОП-5 С.3.006.1-8</x:v>
      </x:c>
      <x:c r="D146" s="16" t="str">
        <x:v>Железобетонные изделия</x:v>
      </x:c>
      <x:c r="E146" s="16" t="str">
        <x:v>ШТ</x:v>
      </x:c>
      <x:c r="F146" s="21" t="n">
        <x:v>61</x:v>
      </x:c>
      <x:c r="G146" s="17" t="n">
        <x:v>1139.8337999999999</x:v>
      </x:c>
      <x:c r="H146" s="17" t="n">
        <x:f>G146*F146</x:f>
        <x:v>69529.8618</x:v>
      </x:c>
      <x:c r="I146" s="22" t="str">
        <x:f>HYPERLINK("https://etp-aktiv.ru/catalog/materialy/stroitelnye-materialy/2000557270-U121/","Открыть позицию")</x:f>
        <x:v>Открыть позицию</x:v>
      </x:c>
    </x:row>
    <x:row r="147" ht="28" customHeight="1">
      <x:c r="A147" s="16" t="str">
        <x:v>Кемеровская теплосетевая компания</x:v>
      </x:c>
      <x:c r="B147" s="16" t="str">
        <x:v>2000557271-U121</x:v>
      </x:c>
      <x:c r="C147" s="16" t="str">
        <x:v>ПОДУШКА ОПОРНАЯ ОП-6 С.3.006.1-2.87.2-60</x:v>
      </x:c>
      <x:c r="D147" s="16" t="str">
        <x:v>Железобетонные изделия</x:v>
      </x:c>
      <x:c r="E147" s="16" t="str">
        <x:v>ШТ</x:v>
      </x:c>
      <x:c r="F147" s="21" t="n">
        <x:v>1</x:v>
      </x:c>
      <x:c r="G147" s="17" t="n">
        <x:v>1894.1232</x:v>
      </x:c>
      <x:c r="H147" s="17" t="n">
        <x:f>G147*F147</x:f>
        <x:v>1894.1232</x:v>
      </x:c>
      <x:c r="I147" s="22" t="str">
        <x:f>HYPERLINK("https://etp-aktiv.ru/catalog/materialy/stroitelnye-materialy/2000557271-U121/","Открыть позицию")</x:f>
        <x:v>Открыть позицию</x:v>
      </x:c>
    </x:row>
    <x:row r="148" ht="28" customHeight="1">
      <x:c r="A148" s="16" t="str">
        <x:v>Кемеровская теплосетевая компания</x:v>
      </x:c>
      <x:c r="B148" s="16" t="str">
        <x:v>2000290496-U121</x:v>
      </x:c>
      <x:c r="C148" s="16" t="str">
        <x:v>ПРОФИЛЬ F ПВХ VENTA БЕЛЫЙ 40*40*300</x:v>
      </x:c>
      <x:c r="D148" s="16" t="str">
        <x:v>Строительные материалы прочие</x:v>
      </x:c>
      <x:c r="E148" s="16" t="str">
        <x:v>ШТ</x:v>
      </x:c>
      <x:c r="F148" s="21" t="n">
        <x:v>3</x:v>
      </x:c>
      <x:c r="G148" s="17" t="n">
        <x:v>3202.5</x:v>
      </x:c>
      <x:c r="H148" s="17" t="n">
        <x:f>G148*F148</x:f>
        <x:v>9607.5</x:v>
      </x:c>
      <x:c r="I148" s="22" t="str">
        <x:f>HYPERLINK("https://etp-aktiv.ru/catalog/materialy/stroitelnye-materialy/2000290496-U121/","Открыть позицию")</x:f>
        <x:v>Открыть позицию</x:v>
      </x:c>
    </x:row>
    <x:row r="149" ht="28" customHeight="1">
      <x:c r="A149" s="16" t="str">
        <x:v>Кемеровская теплосетевая компания</x:v>
      </x:c>
      <x:c r="B149" s="16" t="str">
        <x:v>2000361711-U121</x:v>
      </x:c>
      <x:c r="C149" s="16" t="str">
        <x:v>ПРОФИЛЬ МОНТАЖНЫЙ NORMA Т24/24 0,6М</x:v>
      </x:c>
      <x:c r="D149" s="16" t="str">
        <x:v>Строительные материалы прочие</x:v>
      </x:c>
      <x:c r="E149" s="16" t="str">
        <x:v>ШТ</x:v>
      </x:c>
      <x:c r="F149" s="21" t="n">
        <x:v>99</x:v>
      </x:c>
      <x:c r="G149" s="17" t="n">
        <x:v>22.118599999999997</x:v>
      </x:c>
      <x:c r="H149" s="17" t="n">
        <x:f>G149*F149</x:f>
        <x:v>2189.7414</x:v>
      </x:c>
      <x:c r="I149" s="22" t="str">
        <x:f>HYPERLINK("https://etp-aktiv.ru/catalog/materialy/stroitelnye-materialy/2000361711-U121/","Открыть позицию")</x:f>
        <x:v>Открыть позицию</x:v>
      </x:c>
    </x:row>
    <x:row r="150" ht="28" customHeight="1">
      <x:c r="A150" s="16" t="str">
        <x:v>Кемеровская теплосетевая компания</x:v>
      </x:c>
      <x:c r="B150" s="16" t="str">
        <x:v>2000277954-U121</x:v>
      </x:c>
      <x:c r="C150" s="16" t="str">
        <x:v>ПРОФИЛЬ НАПРАВЛЯЮЩ АРМСТРОНГ БЕЛЫЙ 3,7М</x:v>
      </x:c>
      <x:c r="D150" s="16" t="str">
        <x:v>Строительные материалы прочие</x:v>
      </x:c>
      <x:c r="E150" s="16" t="str">
        <x:v>ШТ</x:v>
      </x:c>
      <x:c r="F150" s="21" t="n">
        <x:v>15</x:v>
      </x:c>
      <x:c r="G150" s="17" t="n">
        <x:v>128.8686</x:v>
      </x:c>
      <x:c r="H150" s="17" t="n">
        <x:f>G150*F150</x:f>
        <x:v>1933.0289999999998</x:v>
      </x:c>
      <x:c r="I150" s="22" t="str">
        <x:f>HYPERLINK("https://etp-aktiv.ru/catalog/materialy/stroitelnye-materialy/2000277954-U121/","Открыть позицию")</x:f>
        <x:v>Открыть позицию</x:v>
      </x:c>
    </x:row>
    <x:row r="151" ht="28" customHeight="1">
      <x:c r="A151" s="16" t="str">
        <x:v>Кемеровская теплосетевая компания</x:v>
      </x:c>
      <x:c r="B151" s="16" t="str">
        <x:v>2000394131-U121</x:v>
      </x:c>
      <x:c r="C151" s="16" t="str">
        <x:v>ПРОФИЛЬ ПОТОЛОЧ МЕТАЛЛИСТ 24*26ММ 1,2М</x:v>
      </x:c>
      <x:c r="D151" s="16" t="str">
        <x:v>Строительные материалы прочие</x:v>
      </x:c>
      <x:c r="E151" s="16" t="str">
        <x:v>ШТ</x:v>
      </x:c>
      <x:c r="F151" s="21" t="n">
        <x:v>98</x:v>
      </x:c>
      <x:c r="G151" s="17" t="n">
        <x:v>55.009800000000006</x:v>
      </x:c>
      <x:c r="H151" s="17" t="n">
        <x:f>G151*F151</x:f>
        <x:v>5390.960400000001</x:v>
      </x:c>
      <x:c r="I151" s="22" t="str">
        <x:f>HYPERLINK("https://etp-aktiv.ru/catalog/materialy/stroitelnye-materialy/2000394131-U121/","Открыть позицию")</x:f>
        <x:v>Открыть позицию</x:v>
      </x:c>
    </x:row>
    <x:row r="152" ht="28" customHeight="1">
      <x:c r="A152" s="16" t="str">
        <x:v>Кемеровская теплосетевая компания</x:v>
      </x:c>
      <x:c r="B152" s="16" t="str">
        <x:v>2000522541-U121</x:v>
      </x:c>
      <x:c r="C152" s="16" t="str">
        <x:v>ПРОФИЛЬ ФИН ОТКОС ПВХ БФК БЕЛ 60*10*2000</x:v>
      </x:c>
      <x:c r="D152" s="16" t="str">
        <x:v>Строительные материалы прочие</x:v>
      </x:c>
      <x:c r="E152" s="16" t="str">
        <x:v>ШТ</x:v>
      </x:c>
      <x:c r="F152" s="21" t="n">
        <x:v>6</x:v>
      </x:c>
      <x:c r="G152" s="17" t="n">
        <x:v>7625</x:v>
      </x:c>
      <x:c r="H152" s="17" t="n">
        <x:f>G152*F152</x:f>
        <x:v>45750</x:v>
      </x:c>
      <x:c r="I152" s="22" t="str">
        <x:f>HYPERLINK("https://etp-aktiv.ru/catalog/materialy/stroitelnye-materialy/2000522541-U121/","Открыть позицию")</x:f>
        <x:v>Открыть позицию</x:v>
      </x:c>
    </x:row>
    <x:row r="153" ht="28" customHeight="1">
      <x:c r="A153" s="16" t="str">
        <x:v>Кемеровская теплосетевая компания</x:v>
      </x:c>
      <x:c r="B153" s="16" t="str">
        <x:v>2000522539-U121</x:v>
      </x:c>
      <x:c r="C153" s="16" t="str">
        <x:v>ПРОФИЛЬ ФИН ОТКОС ПВХ БФК БЕЛ 60*10*2500</x:v>
      </x:c>
      <x:c r="D153" s="16" t="str">
        <x:v>Строительные материалы прочие</x:v>
      </x:c>
      <x:c r="E153" s="16" t="str">
        <x:v>ШТ</x:v>
      </x:c>
      <x:c r="F153" s="21" t="n">
        <x:v>3</x:v>
      </x:c>
      <x:c r="G153" s="17" t="n">
        <x:v>7320</x:v>
      </x:c>
      <x:c r="H153" s="17" t="n">
        <x:f>G153*F153</x:f>
        <x:v>21960</x:v>
      </x:c>
      <x:c r="I153" s="22" t="str">
        <x:f>HYPERLINK("https://etp-aktiv.ru/catalog/materialy/stroitelnye-materialy/2000522539-U121/","Открыть позицию")</x:f>
        <x:v>Открыть позицию</x:v>
      </x:c>
    </x:row>
    <x:row r="154" ht="28" customHeight="1">
      <x:c r="A154" s="16" t="str">
        <x:v>Кемеровская теплосетевая компания</x:v>
      </x:c>
      <x:c r="B154" s="16" t="str">
        <x:v>2000184125-U121</x:v>
      </x:c>
      <x:c r="C154" s="16" t="str">
        <x:v>РАДИАТОР TENRAD BM 500/80 10 СЕКЦИЙ</x:v>
      </x:c>
      <x:c r="D154" s="16" t="str">
        <x:v>Строительные материалы прочие</x:v>
      </x:c>
      <x:c r="E154" s="16" t="str">
        <x:v>ШТ</x:v>
      </x:c>
      <x:c r="F154" s="21" t="n">
        <x:v>4</x:v>
      </x:c>
      <x:c r="G154" s="17" t="n">
        <x:v>4880</x:v>
      </x:c>
      <x:c r="H154" s="17" t="n">
        <x:f>G154*F154</x:f>
        <x:v>19520</x:v>
      </x:c>
      <x:c r="I154" s="22" t="str">
        <x:f>HYPERLINK("https://etp-aktiv.ru/catalog/materialy/stroitelnye-materialy/2000184125-U121/","Открыть позицию")</x:f>
        <x:v>Открыть позицию</x:v>
      </x:c>
    </x:row>
    <x:row r="155" ht="28" customHeight="1">
      <x:c r="A155" s="16" t="str">
        <x:v>Кемеровская теплосетевая компания</x:v>
      </x:c>
      <x:c r="B155" s="16" t="str">
        <x:v>2000320043-U121</x:v>
      </x:c>
      <x:c r="C155" s="16" t="str">
        <x:v>РУЧКА-ЗАЩЕЛКА ДВЕРНАЯ PBRR Z102-03</x:v>
      </x:c>
      <x:c r="D155" s="16" t="str">
        <x:v>Строительные материалы прочие</x:v>
      </x:c>
      <x:c r="E155" s="16" t="str">
        <x:v>ШТ</x:v>
      </x:c>
      <x:c r="F155" s="21" t="n">
        <x:v>3</x:v>
      </x:c>
      <x:c r="G155" s="17" t="n">
        <x:v>1830</x:v>
      </x:c>
      <x:c r="H155" s="17" t="n">
        <x:f>G155*F155</x:f>
        <x:v>5490</x:v>
      </x:c>
      <x:c r="I155" s="22" t="str">
        <x:f>HYPERLINK("https://etp-aktiv.ru/catalog/materialy/stroitelnye-materialy/2000320043-U121/","Открыть позицию")</x:f>
        <x:v>Открыть позицию</x:v>
      </x:c>
    </x:row>
    <x:row r="156" ht="28" customHeight="1">
      <x:c r="A156" s="16" t="str">
        <x:v>Кемеровская теплосетевая компания</x:v>
      </x:c>
      <x:c r="B156" s="16" t="str">
        <x:v>2000720398-U121</x:v>
      </x:c>
      <x:c r="C156" s="16" t="str">
        <x:v>САМОРЕЗ С ДЮБЕЛ V6 CM06522 4,5*40 100ШТ</x:v>
      </x:c>
      <x:c r="D156" s="16" t="str">
        <x:v>Строительные материалы прочие</x:v>
      </x:c>
      <x:c r="E156" s="16" t="str">
        <x:v>УПК</x:v>
      </x:c>
      <x:c r="F156" s="21" t="n">
        <x:v>1</x:v>
      </x:c>
      <x:c r="G156" s="17" t="n">
        <x:v>640.5</x:v>
      </x:c>
      <x:c r="H156" s="17" t="n">
        <x:f>G156*F156</x:f>
        <x:v>640.5</x:v>
      </x:c>
      <x:c r="I156" s="22" t="str">
        <x:f>HYPERLINK("https://etp-aktiv.ru/catalog/materialy/stroitelnye-materialy/2000720398-U121/","Открыть позицию")</x:f>
        <x:v>Открыть позицию</x:v>
      </x:c>
    </x:row>
    <x:row r="157" ht="28" customHeight="1">
      <x:c r="A157" s="16" t="str">
        <x:v>Кемеровская теплосетевая компания</x:v>
      </x:c>
      <x:c r="B157" s="16" t="str">
        <x:v>2000156521-U121</x:v>
      </x:c>
      <x:c r="C157" s="16" t="str">
        <x:v>СТАРТЕР 7402.3708</x:v>
      </x:c>
      <x:c r="D157" s="16" t="str">
        <x:v>Запасные части к дорожно-строительной технике менее 20тн</x:v>
      </x:c>
      <x:c r="E157" s="16" t="str">
        <x:v>ШТ</x:v>
      </x:c>
      <x:c r="F157" s="21" t="n">
        <x:v>1</x:v>
      </x:c>
      <x:c r="G157" s="17" t="n">
        <x:v>5470.9436</x:v>
      </x:c>
      <x:c r="H157" s="17" t="n">
        <x:f>G157*F157</x:f>
        <x:v>5470.9436</x:v>
      </x:c>
      <x:c r="I157" s="22" t="str">
        <x:f>HYPERLINK("https://etp-aktiv.ru/catalog/materialy/zapasnye-chasti-k-dorozhno-stroitelnoj-tekhnike/2000156521-U121/","Открыть позицию")</x:f>
        <x:v>Открыть позицию</x:v>
      </x:c>
    </x:row>
    <x:row r="158" ht="28" customHeight="1">
      <x:c r="A158" s="16" t="str">
        <x:v>Кемеровская теплосетевая компания</x:v>
      </x:c>
      <x:c r="B158" s="16" t="str">
        <x:v>2000502896-U121</x:v>
      </x:c>
      <x:c r="C158" s="16" t="str">
        <x:v>СЭНДВИЧ-ПАНЕЛЬ ЛАЙТ БЕЛ 1500*3000*10</x:v>
      </x:c>
      <x:c r="D158" s="16" t="str">
        <x:v>Строительные материалы прочие</x:v>
      </x:c>
      <x:c r="E158" s="16" t="str">
        <x:v>М2</x:v>
      </x:c>
      <x:c r="F158" s="21" t="n">
        <x:v>9</x:v>
      </x:c>
      <x:c r="G158" s="17" t="n">
        <x:v>508.3374</x:v>
      </x:c>
      <x:c r="H158" s="17" t="n">
        <x:f>G158*F158</x:f>
        <x:v>4575.0366</x:v>
      </x:c>
      <x:c r="I158" s="22" t="str">
        <x:f>HYPERLINK("https://etp-aktiv.ru/catalog/materialy/stroitelnye-materialy/2000502896-U121/","Открыть позицию")</x:f>
        <x:v>Открыть позицию</x:v>
      </x:c>
    </x:row>
    <x:row r="159" ht="28" customHeight="1">
      <x:c r="A159" s="16" t="str">
        <x:v>Кемеровская теплосетевая компания</x:v>
      </x:c>
      <x:c r="B159" s="16" t="str">
        <x:v>2000259313-U121</x:v>
      </x:c>
      <x:c r="C159" s="16" t="str">
        <x:v>УГОЛ ПВХ 35*35ММ 2,7М НЕВОПЛАСТ БЕЛЫЙ</x:v>
      </x:c>
      <x:c r="D159" s="16" t="str">
        <x:v>Строительные материалы прочие</x:v>
      </x:c>
      <x:c r="E159" s="16" t="str">
        <x:v>ШТ</x:v>
      </x:c>
      <x:c r="F159" s="21" t="n">
        <x:v>26</x:v>
      </x:c>
      <x:c r="G159" s="17" t="n">
        <x:v>73.9076</x:v>
      </x:c>
      <x:c r="H159" s="17" t="n">
        <x:f>G159*F159</x:f>
        <x:v>1921.5976</x:v>
      </x:c>
      <x:c r="I159" s="22" t="str">
        <x:f>HYPERLINK("https://etp-aktiv.ru/catalog/materialy/stroitelnye-materialy/2000259313-U121/","Открыть позицию")</x:f>
        <x:v>Открыть позицию</x:v>
      </x:c>
    </x:row>
    <x:row r="160" ht="28" customHeight="1">
      <x:c r="A160" s="16" t="str">
        <x:v>Кемеровская теплосетевая компания</x:v>
      </x:c>
      <x:c r="B160" s="16" t="str">
        <x:v>2000483125-U121</x:v>
      </x:c>
      <x:c r="C160" s="16" t="str">
        <x:v>УГОЛОК ПВХ БКФ-ЭКСТРУЗИЯ БЕЛЫЙ 50*18*2</x:v>
      </x:c>
      <x:c r="D160" s="16" t="str">
        <x:v>Строительные материалы прочие</x:v>
      </x:c>
      <x:c r="E160" s="16" t="str">
        <x:v>ШТ</x:v>
      </x:c>
      <x:c r="F160" s="21" t="n">
        <x:v>20</x:v>
      </x:c>
      <x:c r="G160" s="17" t="n">
        <x:v>45.75</x:v>
      </x:c>
      <x:c r="H160" s="17" t="n">
        <x:f>G160*F160</x:f>
        <x:v>915</x:v>
      </x:c>
      <x:c r="I160" s="22" t="str">
        <x:f>HYPERLINK("https://etp-aktiv.ru/catalog/materialy/stroitelnye-materialy/2000483125-U121/","Открыть позицию")</x:f>
        <x:v>Открыть позицию</x:v>
      </x:c>
    </x:row>
    <x:row r="161" ht="28" customHeight="1">
      <x:c r="A161" s="16" t="str">
        <x:v>Кемеровская теплосетевая компания</x:v>
      </x:c>
      <x:c r="B161" s="16" t="str">
        <x:v>2000478791-U121</x:v>
      </x:c>
      <x:c r="C161" s="16" t="str">
        <x:v>УГОЛОК ПОТОЛКА ARMSTRONG БЕЛ 19*19*3000</x:v>
      </x:c>
      <x:c r="D161" s="16" t="str">
        <x:v>Строительные материалы прочие</x:v>
      </x:c>
      <x:c r="E161" s="16" t="str">
        <x:v>ШТ</x:v>
      </x:c>
      <x:c r="F161" s="21" t="n">
        <x:v>21</x:v>
      </x:c>
      <x:c r="G161" s="17" t="n">
        <x:v>75.4936</x:v>
      </x:c>
      <x:c r="H161" s="17" t="n">
        <x:f>G161*F161</x:f>
        <x:v>1585.3656</x:v>
      </x:c>
      <x:c r="I161" s="22" t="str">
        <x:f>HYPERLINK("https://etp-aktiv.ru/catalog/materialy/stroitelnye-materialy/2000478791-U121/","Открыть позицию")</x:f>
        <x:v>Открыть позицию</x:v>
      </x:c>
    </x:row>
    <x:row r="162" ht="28" customHeight="1">
      <x:c r="A162" s="16" t="str">
        <x:v>Кемеровская теплосетевая компания</x:v>
      </x:c>
      <x:c r="B162" s="16" t="str">
        <x:v>2000500334-U121</x:v>
      </x:c>
      <x:c r="C162" s="16" t="str">
        <x:v>ХОМУТ КАНАЛИЗ ПП ПОЛИТЭК DN50</x:v>
      </x:c>
      <x:c r="D162" s="16" t="str">
        <x:v>Строительные материалы прочие</x:v>
      </x:c>
      <x:c r="E162" s="16" t="str">
        <x:v>ШТ</x:v>
      </x:c>
      <x:c r="F162" s="21" t="n">
        <x:v>1</x:v>
      </x:c>
      <x:c r="G162" s="17" t="n">
        <x:v>21.044999999999998</x:v>
      </x:c>
      <x:c r="H162" s="17" t="n">
        <x:f>G162*F162</x:f>
        <x:v>21.044999999999998</x:v>
      </x:c>
      <x:c r="I162" s="22" t="str">
        <x:f>HYPERLINK("https://etp-aktiv.ru/catalog/materialy/stroitelnye-materialy/2000500334-U121/","Открыть позицию")</x:f>
        <x:v>Открыть позицию</x:v>
      </x:c>
    </x:row>
    <x:row r="163" ht="28" customHeight="1">
      <x:c r="A163" s="16" t="str">
        <x:v>Кемеровская теплосетевая компания</x:v>
      </x:c>
      <x:c r="B163" s="16" t="str">
        <x:v>2000046294-U121</x:v>
      </x:c>
      <x:c r="C163" s="16" t="str">
        <x:v>ШПАТЛЕВКА ФУГЕНФЮЛЛЕР</x:v>
      </x:c>
      <x:c r="D163" s="16" t="str">
        <x:v>Строительные материалы прочие</x:v>
      </x:c>
      <x:c r="E163" s="16" t="str">
        <x:v>КГ</x:v>
      </x:c>
      <x:c r="F163" s="21" t="n">
        <x:v>350</x:v>
      </x:c>
      <x:c r="G163" s="17" t="n">
        <x:v>45.0058</x:v>
      </x:c>
      <x:c r="H163" s="17" t="n">
        <x:f>G163*F163</x:f>
        <x:v>15752.03</x:v>
      </x:c>
      <x:c r="I163" s="22" t="str">
        <x:f>HYPERLINK("https://etp-aktiv.ru/catalog/materialy/stroitelnye-materialy/2000046294-U121/","Открыть позицию")</x:f>
        <x:v>Открыть позицию</x:v>
      </x:c>
    </x:row>
    <x:row r="164" ht="28" customHeight="1">
      <x:c r="A164" s="16" t="str">
        <x:v>Ново-Кемеровская ТЭЦ</x:v>
      </x:c>
      <x:c r="B164" s="16" t="str">
        <x:v>2000586313-U411</x:v>
      </x:c>
      <x:c r="C164" s="16" t="str">
        <x:v>АНКЕР-ГИЛЬЗА HLC 385822 10*60/25</x:v>
      </x:c>
      <x:c r="D164" s="16" t="str">
        <x:v>Строительные материалы прочие</x:v>
      </x:c>
      <x:c r="E164" s="16" t="str">
        <x:v>ШТ</x:v>
      </x:c>
      <x:c r="F164" s="21" t="n">
        <x:v>84</x:v>
      </x:c>
      <x:c r="G164" s="17" t="n">
        <x:v>29.9998</x:v>
      </x:c>
      <x:c r="H164" s="17" t="n">
        <x:f>G164*F164</x:f>
        <x:v>2519.9832</x:v>
      </x:c>
      <x:c r="I164" s="22" t="str">
        <x:f>HYPERLINK("https://etp-aktiv.ru/catalog/materialy/stroitelnye-materialy/2000586313-U411/","Открыть позицию")</x:f>
        <x:v>Открыть позицию</x:v>
      </x:c>
    </x:row>
    <x:row r="165" ht="28" customHeight="1">
      <x:c r="A165" s="16" t="str">
        <x:v>Ново-Кемеровская ТЭЦ</x:v>
      </x:c>
      <x:c r="B165" s="16" t="str">
        <x:v>2000551465-U411</x:v>
      </x:c>
      <x:c r="C165" s="16" t="str">
        <x:v>ВИНТ САМОНАРЕЗАЮЩИЙ ШСММ 4,2*16</x:v>
      </x:c>
      <x:c r="D165" s="16" t="str">
        <x:v>Строительные материалы прочие</x:v>
      </x:c>
      <x:c r="E165" s="16" t="str">
        <x:v>ШТ</x:v>
      </x:c>
      <x:c r="F165" s="21" t="n">
        <x:v>3332</x:v>
      </x:c>
      <x:c r="G165" s="17" t="n">
        <x:v>0.427</x:v>
      </x:c>
      <x:c r="H165" s="17" t="n">
        <x:f>G165*F165</x:f>
        <x:v>1422.764</x:v>
      </x:c>
      <x:c r="I165" s="22" t="str">
        <x:f>HYPERLINK("https://etp-aktiv.ru/catalog/materialy/stroitelnye-materialy/2000551465-U411/","Открыть позицию")</x:f>
        <x:v>Открыть позицию</x:v>
      </x:c>
    </x:row>
    <x:row r="166" ht="28" customHeight="1">
      <x:c r="A166" s="16" t="str">
        <x:v>Ново-Кемеровская ТЭЦ</x:v>
      </x:c>
      <x:c r="B166" s="16" t="str">
        <x:v>2000606199-U411</x:v>
      </x:c>
      <x:c r="C166" s="16" t="str">
        <x:v>КЛЕЙ ЭК-4 ОБС.504.087 ТУ</x:v>
      </x:c>
      <x:c r="D166" s="16" t="str">
        <x:v>Строительные материалы прочие</x:v>
      </x:c>
      <x:c r="E166" s="16" t="str">
        <x:v>КГ</x:v>
      </x:c>
      <x:c r="F166" s="21" t="n">
        <x:v>54</x:v>
      </x:c>
      <x:c r="G166" s="17" t="n">
        <x:v>3105.6198</x:v>
      </x:c>
      <x:c r="H166" s="17" t="n">
        <x:f>G166*F166</x:f>
        <x:v>167703.4692</x:v>
      </x:c>
      <x:c r="I166" s="22" t="str">
        <x:f>HYPERLINK("https://etp-aktiv.ru/catalog/materialy/stroitelnye-materialy/2000606199-U411/","Открыть позицию")</x:f>
        <x:v>Открыть позицию</x:v>
      </x:c>
    </x:row>
    <x:row r="167" ht="28" customHeight="1">
      <x:c r="A167" s="16" t="str">
        <x:v>Ново-Кемеровская ТЭЦ</x:v>
      </x:c>
      <x:c r="B167" s="16" t="str">
        <x:v>2000426519-U411</x:v>
      </x:c>
      <x:c r="C167" s="16" t="str">
        <x:v>ЛЕНТА СТРЕППИНГ 517293 15*0,8ММ*2000М</x:v>
      </x:c>
      <x:c r="D167" s="16" t="str">
        <x:v>Строительные материалы прочие</x:v>
      </x:c>
      <x:c r="E167" s="16" t="str">
        <x:v>ШТ</x:v>
      </x:c>
      <x:c r="F167" s="21" t="n">
        <x:v>5</x:v>
      </x:c>
      <x:c r="G167" s="17" t="n">
        <x:v>876.8872</x:v>
      </x:c>
      <x:c r="H167" s="17" t="n">
        <x:f>G167*F167</x:f>
        <x:v>4384.436</x:v>
      </x:c>
      <x:c r="I167" s="22" t="str">
        <x:f>HYPERLINK("https://etp-aktiv.ru/catalog/materialy/stroitelnye-materialy/2000426519-U411/","Открыть позицию")</x:f>
        <x:v>Открыть позицию</x:v>
      </x:c>
    </x:row>
    <x:row r="168" ht="28" customHeight="1">
      <x:c r="A168" s="16" t="str">
        <x:v>Ново-Кемеровская ТЭЦ</x:v>
      </x:c>
      <x:c r="B168" s="16" t="str">
        <x:v>2000448875-U411</x:v>
      </x:c>
      <x:c r="C168" s="16" t="str">
        <x:v>НАСОС ТОПЛИВНЫЙ 4УТНИ-П-1111005</x:v>
      </x:c>
      <x:c r="D168" s="16" t="str">
        <x:v>Запасные части к дорожно-строительной технике менее 20тн</x:v>
      </x:c>
      <x:c r="E168" s="16" t="str">
        <x:v>ШТ</x:v>
      </x:c>
      <x:c r="F168" s="21" t="n">
        <x:v>1</x:v>
      </x:c>
      <x:c r="G168" s="17" t="n">
        <x:v>13420</x:v>
      </x:c>
      <x:c r="H168" s="17" t="n">
        <x:f>G168*F168</x:f>
        <x:v>13420</x:v>
      </x:c>
      <x:c r="I168" s="22" t="str">
        <x:f>HYPERLINK("https://etp-aktiv.ru/catalog/materialy/zapasnye-chasti-k-dorozhno-stroitelnoj-tekhnike/2000448875-U411/","Открыть позицию")</x:f>
        <x:v>Открыть позицию</x:v>
      </x:c>
    </x:row>
    <x:row r="169" ht="28" customHeight="1">
      <x:c r="A169" s="16" t="str">
        <x:v>Ново-Кемеровская ТЭЦ</x:v>
      </x:c>
      <x:c r="B169" s="16" t="str">
        <x:v>2000551227-U411</x:v>
      </x:c>
      <x:c r="C169" s="16" t="str">
        <x:v>ПОДВОДКА 80СМ VTF.001.IS.0404080</x:v>
      </x:c>
      <x:c r="D169" s="16" t="str">
        <x:v>Строительные материалы прочие</x:v>
      </x:c>
      <x:c r="E169" s="16" t="str">
        <x:v>ШТ</x:v>
      </x:c>
      <x:c r="F169" s="21" t="n">
        <x:v>24</x:v>
      </x:c>
      <x:c r="G169" s="17" t="n">
        <x:v>190.0028</x:v>
      </x:c>
      <x:c r="H169" s="17" t="n">
        <x:f>G169*F169</x:f>
        <x:v>4560.0672</x:v>
      </x:c>
      <x:c r="I169" s="22" t="str">
        <x:f>HYPERLINK("https://etp-aktiv.ru/catalog/materialy/stroitelnye-materialy/2000551227-U411/","Открыть позицию")</x:f>
        <x:v>Открыть позицию</x:v>
      </x:c>
    </x:row>
    <x:row r="170" ht="28" customHeight="1">
      <x:c r="A170" s="16" t="str">
        <x:v>Ново-Кемеровская ТЭЦ</x:v>
      </x:c>
      <x:c r="B170" s="16" t="str">
        <x:v>2000991329-U411</x:v>
      </x:c>
      <x:c r="C170" s="16" t="str">
        <x:v>ПОДВОДКА ГИБКАЯ 120СМ VTF.002.IS.0404120</x:v>
      </x:c>
      <x:c r="D170" s="16" t="str">
        <x:v>Строительные материалы прочие</x:v>
      </x:c>
      <x:c r="E170" s="16" t="str">
        <x:v>ШТ</x:v>
      </x:c>
      <x:c r="F170" s="21" t="n">
        <x:v>10</x:v>
      </x:c>
      <x:c r="G170" s="17" t="n">
        <x:v>101.4308</x:v>
      </x:c>
      <x:c r="H170" s="17" t="n">
        <x:f>G170*F170</x:f>
        <x:v>1014.308</x:v>
      </x:c>
      <x:c r="I170" s="22" t="str">
        <x:f>HYPERLINK("https://etp-aktiv.ru/catalog/materialy/stroitelnye-materialy/2000991329-U411/","Открыть позицию")</x:f>
        <x:v>Открыть позицию</x:v>
      </x:c>
    </x:row>
    <x:row r="171" ht="28" customHeight="1">
      <x:c r="A171" s="16" t="str">
        <x:v>Ново-Кемеровская ТЭЦ</x:v>
      </x:c>
      <x:c r="B171" s="16" t="str">
        <x:v>2000551241-U411</x:v>
      </x:c>
      <x:c r="C171" s="16" t="str">
        <x:v>СИФОН ГОФР УДЛИН G116 1 1/2"*40/50</x:v>
      </x:c>
      <x:c r="D171" s="16" t="str">
        <x:v>Строительные материалы прочие</x:v>
      </x:c>
      <x:c r="E171" s="16" t="str">
        <x:v>ШТ</x:v>
      </x:c>
      <x:c r="F171" s="21" t="n">
        <x:v>14</x:v>
      </x:c>
      <x:c r="G171" s="17" t="n">
        <x:v>109.373</x:v>
      </x:c>
      <x:c r="H171" s="17" t="n">
        <x:f>G171*F171</x:f>
        <x:v>1531.222</x:v>
      </x:c>
      <x:c r="I171" s="22" t="str">
        <x:f>HYPERLINK("https://etp-aktiv.ru/catalog/materialy/stroitelnye-materialy/2000551241-U411/","Открыть позицию")</x:f>
        <x:v>Открыть позицию</x:v>
      </x:c>
    </x:row>
    <x:row r="172" ht="28" customHeight="1">
      <x:c r="A172" s="16" t="str">
        <x:v>Ново-Кемеровская ТЭЦ</x:v>
      </x:c>
      <x:c r="B172" s="16" t="str">
        <x:v>2000446329-U411</x:v>
      </x:c>
      <x:c r="C172" s="16" t="str">
        <x:v>СКОБА Д/СТРЕП ЛЕНТЫ РР15 1000ШТ</x:v>
      </x:c>
      <x:c r="D172" s="16" t="str">
        <x:v>Строительные материалы прочие</x:v>
      </x:c>
      <x:c r="E172" s="16" t="str">
        <x:v>ШТ</x:v>
      </x:c>
      <x:c r="F172" s="21" t="n">
        <x:v>10</x:v>
      </x:c>
      <x:c r="G172" s="17" t="n">
        <x:v>324.825</x:v>
      </x:c>
      <x:c r="H172" s="17" t="n">
        <x:f>G172*F172</x:f>
        <x:v>3248.25</x:v>
      </x:c>
      <x:c r="I172" s="22" t="str">
        <x:f>HYPERLINK("https://etp-aktiv.ru/catalog/materialy/stroitelnye-materialy/2000446329-U411/","Открыть позицию")</x:f>
        <x:v>Открыть позицию</x:v>
      </x:c>
    </x:row>
    <x:row r="173" ht="28" customHeight="1">
      <x:c r="A173" s="16" t="str">
        <x:v>Ново-Кемеровская ТЭЦ</x:v>
      </x:c>
      <x:c r="B173" s="16" t="str">
        <x:v>2000200048-U411</x:v>
      </x:c>
      <x:c r="C173" s="16" t="str">
        <x:v>СМЕСИТЕЛЬ Д/ВАННЫ СМ-В-М-2</x:v>
      </x:c>
      <x:c r="D173" s="16" t="str">
        <x:v>Строительные материалы прочие</x:v>
      </x:c>
      <x:c r="E173" s="16" t="str">
        <x:v>ШТ</x:v>
      </x:c>
      <x:c r="F173" s="21" t="n">
        <x:v>6</x:v>
      </x:c>
      <x:c r="G173" s="17" t="n">
        <x:v>1399.9987999999998</x:v>
      </x:c>
      <x:c r="H173" s="17" t="n">
        <x:f>G173*F173</x:f>
        <x:v>8399.9928</x:v>
      </x:c>
      <x:c r="I173" s="22" t="str">
        <x:f>HYPERLINK("https://etp-aktiv.ru/catalog/materialy/stroitelnye-materialy/2000200048-U411/","Открыть позицию")</x:f>
        <x:v>Открыть позицию</x:v>
      </x:c>
    </x:row>
    <x:row r="174" ht="28" customHeight="1">
      <x:c r="A174" s="16" t="str">
        <x:v>Ново-Кемеровская ТЭЦ</x:v>
      </x:c>
      <x:c r="B174" s="16" t="str">
        <x:v>2000238150-U411</x:v>
      </x:c>
      <x:c r="C174" s="16" t="str">
        <x:v>СМЕСИТЕЛЬ Д/КУХНИ CALORIE ЛЮКС 1424H04</x:v>
      </x:c>
      <x:c r="D174" s="16" t="str">
        <x:v>Строительные материалы прочие</x:v>
      </x:c>
      <x:c r="E174" s="16" t="str">
        <x:v>ШТ</x:v>
      </x:c>
      <x:c r="F174" s="21" t="n">
        <x:v>2</x:v>
      </x:c>
      <x:c r="G174" s="17" t="n">
        <x:v>966.4718</x:v>
      </x:c>
      <x:c r="H174" s="17" t="n">
        <x:f>G174*F174</x:f>
        <x:v>1932.9436</x:v>
      </x:c>
      <x:c r="I174" s="22" t="str">
        <x:f>HYPERLINK("https://etp-aktiv.ru/catalog/materialy/stroitelnye-materialy/2000238150-U411/","Открыть позицию")</x:f>
        <x:v>Открыть позицию</x:v>
      </x:c>
    </x:row>
    <x:row r="175" ht="28" customHeight="1">
      <x:c r="A175" s="16" t="str">
        <x:v>Ново-Кемеровская ТЭЦ</x:v>
      </x:c>
      <x:c r="B175" s="16" t="str">
        <x:v>2000126440-U411</x:v>
      </x:c>
      <x:c r="C175" s="16" t="str">
        <x:v>СМЕСИТЕЛЬ ДУШЕВОЙ КСМ-76</x:v>
      </x:c>
      <x:c r="D175" s="16" t="str">
        <x:v>Строительные материалы прочие</x:v>
      </x:c>
      <x:c r="E175" s="16" t="str">
        <x:v>ШТ</x:v>
      </x:c>
      <x:c r="F175" s="21" t="n">
        <x:v>3</x:v>
      </x:c>
      <x:c r="G175" s="17" t="n">
        <x:v>2107.4768</x:v>
      </x:c>
      <x:c r="H175" s="17" t="n">
        <x:f>G175*F175</x:f>
        <x:v>6322.430399999999</x:v>
      </x:c>
      <x:c r="I175" s="22" t="str">
        <x:f>HYPERLINK("https://etp-aktiv.ru/catalog/materialy/stroitelnye-materialy/2000126440-U411/","Открыть позицию")</x:f>
        <x:v>Открыть позицию</x:v>
      </x:c>
    </x:row>
    <x:row r="176" ht="28" customHeight="1">
      <x:c r="A176" s="16" t="str">
        <x:v>Теплоэнергетик</x:v>
      </x:c>
      <x:c r="B176" s="16" t="str">
        <x:v>2000551394-U911</x:v>
      </x:c>
      <x:c r="C176" s="16" t="str">
        <x:v>БОЛТ БСР У3 М20*200</x:v>
      </x:c>
      <x:c r="D176" s="16" t="str">
        <x:v>Строительные материалы прочие</x:v>
      </x:c>
      <x:c r="E176" s="16" t="str">
        <x:v>ШТ</x:v>
      </x:c>
      <x:c r="F176" s="21" t="n">
        <x:v>4</x:v>
      </x:c>
      <x:c r="G176" s="17" t="n">
        <x:v>128.8564</x:v>
      </x:c>
      <x:c r="H176" s="17" t="n">
        <x:f>G176*F176</x:f>
        <x:v>515.4256</x:v>
      </x:c>
      <x:c r="I176" s="22" t="str">
        <x:f>HYPERLINK("https://etp-aktiv.ru/catalog/materialy/stroitelnye-materialy/2000551394-U911/","Открыть позицию")</x:f>
        <x:v>Открыть позицию</x:v>
      </x:c>
    </x:row>
    <x:row r="177" ht="28" customHeight="1">
      <x:c r="A177" s="16" t="str">
        <x:v>Томь-Усинская ГРЭС</x:v>
      </x:c>
      <x:c r="B177" s="16" t="str">
        <x:v>2000969713-U111</x:v>
      </x:c>
      <x:c r="C177" s="16" t="str">
        <x:v>КИРПИЧ ОГНЕУПОРНЫЙ ША-96 ГОСТ390-96</x:v>
      </x:c>
      <x:c r="D177" s="16" t="str">
        <x:v>Огнеупорные материалы</x:v>
      </x:c>
      <x:c r="E177" s="16" t="str">
        <x:v>Т</x:v>
      </x:c>
      <x:c r="F177" s="30" t="n">
        <x:v>0.512</x:v>
      </x:c>
      <x:c r="G177" s="17" t="n">
        <x:v>41480</x:v>
      </x:c>
      <x:c r="H177" s="17" t="n">
        <x:f>G177*F177</x:f>
        <x:v>21237.760000000002</x:v>
      </x:c>
      <x:c r="I177" s="22" t="str">
        <x:f>HYPERLINK("https://etp-aktiv.ru/catalog/materialy/ogneupornye-materialy/2000969713-U111/","Открыть позицию")</x:f>
        <x:v>Открыть позицию</x:v>
      </x:c>
    </x:row>
    <x:row r="178" ht="28" customHeight="1">
      <x:c r="A178" s="16" t="str">
        <x:v>Томь-Усинская ГРЭС</x:v>
      </x:c>
      <x:c r="B178" s="16" t="str">
        <x:v>2000995430-U111</x:v>
      </x:c>
      <x:c r="C178" s="16" t="str">
        <x:v>КИРПИЧ ПЕНОДИАТОМИТ КПД-400 К-2 ТУ5764</x:v>
      </x:c>
      <x:c r="D178" s="16" t="str">
        <x:v>Огнеупорные материалы</x:v>
      </x:c>
      <x:c r="E178" s="16" t="str">
        <x:v>М3</x:v>
      </x:c>
      <x:c r="F178" s="30" t="n">
        <x:v>0.236</x:v>
      </x:c>
      <x:c r="G178" s="17" t="n">
        <x:v>25620</x:v>
      </x:c>
      <x:c r="H178" s="17" t="n">
        <x:f>G178*F178</x:f>
        <x:v>6046.32</x:v>
      </x:c>
      <x:c r="I178" s="22" t="str">
        <x:f>HYPERLINK("https://etp-aktiv.ru/catalog/materialy/ogneupornye-materialy/2000995430-U111/","Открыть позицию")</x:f>
        <x:v>Открыть позицию</x:v>
      </x:c>
    </x:row>
    <x:row r="179" ht="28" customHeight="1">
      <x:c r="A179" s="16" t="str">
        <x:v>Томь-Усинская ГРЭС</x:v>
      </x:c>
      <x:c r="B179" s="16" t="str">
        <x:v>2000551269-U111</x:v>
      </x:c>
      <x:c r="C179" s="16" t="str">
        <x:v>КРАН ВОДОРАЗБОРНЫЙ DN15 КМВ-15Д-04 ХРОМ</x:v>
      </x:c>
      <x:c r="D179" s="16" t="str">
        <x:v>Строительные материалы прочие</x:v>
      </x:c>
      <x:c r="E179" s="16" t="str">
        <x:v>ШТ</x:v>
      </x:c>
      <x:c r="F179" s="21" t="n">
        <x:v>15</x:v>
      </x:c>
      <x:c r="G179" s="17" t="n">
        <x:v>525.0025999999999</x:v>
      </x:c>
      <x:c r="H179" s="17" t="n">
        <x:f>G179*F179</x:f>
        <x:v>7875.038999999999</x:v>
      </x:c>
      <x:c r="I179" s="22" t="str">
        <x:f>HYPERLINK("https://etp-aktiv.ru/catalog/materialy/stroitelnye-materialy/2000551269-U111/","Открыть позицию")</x:f>
        <x:v>Открыть позицию</x:v>
      </x:c>
    </x:row>
    <x:row r="180" ht="28" customHeight="1">
      <x:c r="A180" s="16" t="str">
        <x:v>Томь-Усинская ГРЭС</x:v>
      </x:c>
      <x:c r="B180" s="16" t="str">
        <x:v>2000595542-U111</x:v>
      </x:c>
      <x:c r="C180" s="16" t="str">
        <x:v>ЛЕНТА-ГЕРМЕТИК NICOBAND DUO 10М</x:v>
      </x:c>
      <x:c r="D180" s="16" t="str">
        <x:v>Строительные материалы прочие</x:v>
      </x:c>
      <x:c r="E180" s="16" t="str">
        <x:v>ШТ</x:v>
      </x:c>
      <x:c r="F180" s="21" t="n">
        <x:v>2</x:v>
      </x:c>
      <x:c r="G180" s="17" t="n">
        <x:v>1031.4002</x:v>
      </x:c>
      <x:c r="H180" s="17" t="n">
        <x:f>G180*F180</x:f>
        <x:v>2062.8004</x:v>
      </x:c>
      <x:c r="I180" s="22" t="str">
        <x:f>HYPERLINK("https://etp-aktiv.ru/catalog/materialy/stroitelnye-materialy/2000595542-U111/","Открыть позицию")</x:f>
        <x:v>Открыть позицию</x:v>
      </x:c>
    </x:row>
    <x:row r="181" ht="28" customHeight="1">
      <x:c r="A181" s="16" t="str">
        <x:v>Томь-Усинская ГРЭС</x:v>
      </x:c>
      <x:c r="B181" s="16" t="str">
        <x:v>2000580405-U111</x:v>
      </x:c>
      <x:c r="C181" s="16" t="str">
        <x:v>РЕДУКТОР КАНАЛИЗ ПОЛИПРОПИЛЕН - 160*110</x:v>
      </x:c>
      <x:c r="D181" s="16" t="str">
        <x:v>Строительные материалы прочие специализированные и под заказ</x:v>
      </x:c>
      <x:c r="E181" s="16" t="str">
        <x:v>ШТ</x:v>
      </x:c>
      <x:c r="F181" s="21" t="n">
        <x:v>2</x:v>
      </x:c>
      <x:c r="G181" s="17" t="n">
        <x:v>266.57</x:v>
      </x:c>
      <x:c r="H181" s="17" t="n">
        <x:f>G181*F181</x:f>
        <x:v>533.14</x:v>
      </x:c>
      <x:c r="I181" s="22" t="str">
        <x:f>HYPERLINK("https://etp-aktiv.ru/catalog/materialy/stroitelnye-materialy/2000580405-U111/","Открыть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b3fd90f8865a4164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Трубы, фитинги, трубопроводная арматура и ОПС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2000552970-U112</x:v>
      </x:c>
      <x:c r="C5" s="16" t="str">
        <x:v>БЛОК 04 ОСТ34-10-729-93</x:v>
      </x:c>
      <x:c r="D5" s="16" t="str">
        <x:v>Система опорно-подвесная</x:v>
      </x:c>
      <x:c r="E5" s="16" t="str">
        <x:v>ШТ</x:v>
      </x:c>
      <x:c r="F5" s="21" t="n">
        <x:v>8</x:v>
      </x:c>
      <x:c r="G5" s="17" t="n">
        <x:v>915</x:v>
      </x:c>
      <x:c r="H5" s="17" t="n">
        <x:f>G5*F5</x:f>
        <x:v>7320</x:v>
      </x:c>
      <x:c r="I5" s="22" t="str">
        <x:f>HYPERLINK("https://etp-aktiv.ru/catalog/materialy/truboprovody/2000552970-U112/","Открыть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2000552971-U112</x:v>
      </x:c>
      <x:c r="C6" s="16" t="str">
        <x:v>БЛОК 06 ОСТ34-10-729-93</x:v>
      </x:c>
      <x:c r="D6" s="16" t="str">
        <x:v>Система опорно-подвесная</x:v>
      </x:c>
      <x:c r="E6" s="16" t="str">
        <x:v>ШТ</x:v>
      </x:c>
      <x:c r="F6" s="21" t="n">
        <x:v>2</x:v>
      </x:c>
      <x:c r="G6" s="17" t="n">
        <x:v>1669.875</x:v>
      </x:c>
      <x:c r="H6" s="17" t="n">
        <x:f>G6*F6</x:f>
        <x:v>3339.75</x:v>
      </x:c>
      <x:c r="I6" s="22" t="str">
        <x:f>HYPERLINK("https://etp-aktiv.ru/catalog/materialy/truboprovody/2000552971-U112/","Открыть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2000552999-U112</x:v>
      </x:c>
      <x:c r="C7" s="16" t="str">
        <x:v>БЛОК ПОДВЕСКИ 273У-57 ОСТ34-10-726-93</x:v>
      </x:c>
      <x:c r="D7" s="16" t="str">
        <x:v>Система опорно-подвесная</x:v>
      </x:c>
      <x:c r="E7" s="16" t="str">
        <x:v>ШТ</x:v>
      </x:c>
      <x:c r="F7" s="21" t="n">
        <x:v>1</x:v>
      </x:c>
      <x:c r="G7" s="17" t="n">
        <x:v>5149.9982</x:v>
      </x:c>
      <x:c r="H7" s="17" t="n">
        <x:f>G7*F7</x:f>
        <x:v>5149.9982</x:v>
      </x:c>
      <x:c r="I7" s="22" t="str">
        <x:f>HYPERLINK("https://etp-aktiv.ru/catalog/materialy/truboprovody/2000552999-U112/","Открыть позицию")</x:f>
        <x:v>Открыть позицию</x:v>
      </x:c>
    </x:row>
    <x:row r="8" ht="28" customHeight="1">
      <x:c r="A8" s="16" t="str">
        <x:v>Беловская ГРЭС</x:v>
      </x:c>
      <x:c r="B8" s="16" t="str">
        <x:v>2000749382-U112</x:v>
      </x:c>
      <x:c r="C8" s="16" t="str">
        <x:v>БЛОК ПОДВЕСКИ 530У-53 ОСТ34-10-727-93</x:v>
      </x:c>
      <x:c r="D8" s="16" t="str">
        <x:v>Система опорно-подвесная</x:v>
      </x:c>
      <x:c r="E8" s="16" t="str">
        <x:v>ШТ</x:v>
      </x:c>
      <x:c r="F8" s="21" t="n">
        <x:v>1</x:v>
      </x:c>
      <x:c r="G8" s="17" t="n">
        <x:v>11224</x:v>
      </x:c>
      <x:c r="H8" s="17" t="n">
        <x:f>G8*F8</x:f>
        <x:v>11224</x:v>
      </x:c>
      <x:c r="I8" s="22" t="str">
        <x:f>HYPERLINK("https://etp-aktiv.ru/catalog/materialy/truboprovody/2000749382-U112/","Открыть позицию")</x:f>
        <x:v>Открыть позицию</x:v>
      </x:c>
    </x:row>
    <x:row r="9" ht="28" customHeight="1">
      <x:c r="A9" s="16" t="str">
        <x:v>Беловская ГРЭС</x:v>
      </x:c>
      <x:c r="B9" s="16" t="str">
        <x:v>2000777991-U112</x:v>
      </x:c>
      <x:c r="C9" s="16" t="str">
        <x:v>БЛОК ПОДВЕСКИ 630У-27 ОСТ34-10-726-93</x:v>
      </x:c>
      <x:c r="D9" s="16" t="str">
        <x:v>Система опорно-подвесная</x:v>
      </x:c>
      <x:c r="E9" s="16" t="str">
        <x:v>ШТ</x:v>
      </x:c>
      <x:c r="F9" s="21" t="n">
        <x:v>1</x:v>
      </x:c>
      <x:c r="G9" s="17" t="n">
        <x:v>37743.75</x:v>
      </x:c>
      <x:c r="H9" s="17" t="n">
        <x:f>G9*F9</x:f>
        <x:v>37743.75</x:v>
      </x:c>
      <x:c r="I9" s="22" t="str">
        <x:f>HYPERLINK("https://etp-aktiv.ru/catalog/materialy/truboprovody/2000777991-U112/","Открыть позицию")</x:f>
        <x:v>Открыть позицию</x:v>
      </x:c>
    </x:row>
    <x:row r="10" ht="28" customHeight="1">
      <x:c r="A10" s="16" t="str">
        <x:v>Беловская ГРЭС</x:v>
      </x:c>
      <x:c r="B10" s="16" t="str">
        <x:v>2000873464-U112</x:v>
      </x:c>
      <x:c r="C10" s="16" t="str">
        <x:v>БЛОК ПРУЖИННЫЙ 14 ОСТ34-10-743</x:v>
      </x:c>
      <x:c r="D10" s="16" t="str">
        <x:v>Система опорно-подвесная</x:v>
      </x:c>
      <x:c r="E10" s="16" t="str">
        <x:v>ШТ</x:v>
      </x:c>
      <x:c r="F10" s="21" t="n">
        <x:v>2</x:v>
      </x:c>
      <x:c r="G10" s="17" t="n">
        <x:v>3577.955</x:v>
      </x:c>
      <x:c r="H10" s="17" t="n">
        <x:f>G10*F10</x:f>
        <x:v>7155.91</x:v>
      </x:c>
      <x:c r="I10" s="22" t="str">
        <x:f>HYPERLINK("https://etp-aktiv.ru/catalog/materialy/truboprovody/2000873464-U112/","Открыть позицию")</x:f>
        <x:v>Открыть позицию</x:v>
      </x:c>
    </x:row>
    <x:row r="11" ht="28" customHeight="1">
      <x:c r="A11" s="16" t="str">
        <x:v>Беловская ГРЭС</x:v>
      </x:c>
      <x:c r="B11" s="16" t="str">
        <x:v>2000749244-U112</x:v>
      </x:c>
      <x:c r="C11" s="16" t="str">
        <x:v>БЛОК ПРУЖИННЫЙ 16 ОСТ34.10.744-93</x:v>
      </x:c>
      <x:c r="D11" s="16" t="str">
        <x:v>Система опорно-подвесная</x:v>
      </x:c>
      <x:c r="E11" s="16" t="str">
        <x:v>ШТ</x:v>
      </x:c>
      <x:c r="F11" s="21" t="n">
        <x:v>1</x:v>
      </x:c>
      <x:c r="G11" s="17" t="n">
        <x:v>28510.9486</x:v>
      </x:c>
      <x:c r="H11" s="17" t="n">
        <x:f>G11*F11</x:f>
        <x:v>28510.9486</x:v>
      </x:c>
      <x:c r="I11" s="22" t="str">
        <x:f>HYPERLINK("https://etp-aktiv.ru/catalog/materialy/truboprovody/2000749244-U112/","Открыть позицию")</x:f>
        <x:v>Открыть позицию</x:v>
      </x:c>
    </x:row>
    <x:row r="12" ht="28" customHeight="1">
      <x:c r="A12" s="16" t="str">
        <x:v>Беловская ГРЭС</x:v>
      </x:c>
      <x:c r="B12" s="16" t="str">
        <x:v>2000553059-U112</x:v>
      </x:c>
      <x:c r="C12" s="16" t="str">
        <x:v>БЛОК ПРУЖИННЫЙ СБОРН 15 ОСТ34-10-743-93</x:v>
      </x:c>
      <x:c r="D12" s="16" t="str">
        <x:v>Система опорно-подвесная</x:v>
      </x:c>
      <x:c r="E12" s="16" t="str">
        <x:v>ШТ</x:v>
      </x:c>
      <x:c r="F12" s="21" t="n">
        <x:v>1</x:v>
      </x:c>
      <x:c r="G12" s="17" t="n">
        <x:v>6695.97</x:v>
      </x:c>
      <x:c r="H12" s="17" t="n">
        <x:f>G12*F12</x:f>
        <x:v>6695.97</x:v>
      </x:c>
      <x:c r="I12" s="22" t="str">
        <x:f>HYPERLINK("https://etp-aktiv.ru/catalog/materialy/truboprovody/2000553059-U112/","Открыть позицию")</x:f>
        <x:v>Открыть позицию</x:v>
      </x:c>
    </x:row>
    <x:row r="13" ht="28" customHeight="1">
      <x:c r="A13" s="16" t="str">
        <x:v>Беловская ГРЭС</x:v>
      </x:c>
      <x:c r="B13" s="16" t="str">
        <x:v>2000553062-U112</x:v>
      </x:c>
      <x:c r="C13" s="16" t="str">
        <x:v>БЛОК ПРУЖИННЫЙ СБОРН 18 ОСТ34-10-743-93</x:v>
      </x:c>
      <x:c r="D13" s="16" t="str">
        <x:v>Система опорно-подвесная</x:v>
      </x:c>
      <x:c r="E13" s="16" t="str">
        <x:v>ШТ</x:v>
      </x:c>
      <x:c r="F13" s="21" t="n">
        <x:v>6</x:v>
      </x:c>
      <x:c r="G13" s="17" t="n">
        <x:v>9907.681</x:v>
      </x:c>
      <x:c r="H13" s="17" t="n">
        <x:f>G13*F13</x:f>
        <x:v>59446.086</x:v>
      </x:c>
      <x:c r="I13" s="22" t="str">
        <x:f>HYPERLINK("https://etp-aktiv.ru/catalog/materialy/truboprovody/2000553062-U112/","Открыть позицию")</x:f>
        <x:v>Открыть позицию</x:v>
      </x:c>
    </x:row>
    <x:row r="14" ht="28" customHeight="1">
      <x:c r="A14" s="16" t="str">
        <x:v>Беловская ГРЭС</x:v>
      </x:c>
      <x:c r="B14" s="16" t="str">
        <x:v>2000553071-U112</x:v>
      </x:c>
      <x:c r="C14" s="16" t="str">
        <x:v>БЛОК ХОМУТОВЫЙ 530 У-23 ОСТ34-10-725-93</x:v>
      </x:c>
      <x:c r="D14" s="16" t="str">
        <x:v>Система опорно-подвесная</x:v>
      </x:c>
      <x:c r="E14" s="16" t="str">
        <x:v>ШТ</x:v>
      </x:c>
      <x:c r="F14" s="21" t="n">
        <x:v>1</x:v>
      </x:c>
      <x:c r="G14" s="17" t="n">
        <x:v>6481.25</x:v>
      </x:c>
      <x:c r="H14" s="17" t="n">
        <x:f>G14*F14</x:f>
        <x:v>6481.25</x:v>
      </x:c>
      <x:c r="I14" s="22" t="str">
        <x:f>HYPERLINK("https://etp-aktiv.ru/catalog/materialy/truboprovody/2000553071-U112/","Открыть позицию")</x:f>
        <x:v>Открыть позицию</x:v>
      </x:c>
    </x:row>
    <x:row r="15" ht="28" customHeight="1">
      <x:c r="A15" s="16" t="str">
        <x:v>Беловская ГРЭС</x:v>
      </x:c>
      <x:c r="B15" s="16" t="str">
        <x:v>2000782588-U112</x:v>
      </x:c>
      <x:c r="C15" s="16" t="str">
        <x:v>БЛОК ХОМУТОВЫЙ 57У-01 ОСТ34-10-725-93</x:v>
      </x:c>
      <x:c r="D15" s="16" t="str">
        <x:v>Система опорно-подвесная</x:v>
      </x:c>
      <x:c r="E15" s="16" t="str">
        <x:v>ШТ</x:v>
      </x:c>
      <x:c r="F15" s="21" t="n">
        <x:v>15</x:v>
      </x:c>
      <x:c r="G15" s="17" t="n">
        <x:v>681.4431999999999</x:v>
      </x:c>
      <x:c r="H15" s="17" t="n">
        <x:f>G15*F15</x:f>
        <x:v>10221.648</x:v>
      </x:c>
      <x:c r="I15" s="22" t="str">
        <x:f>HYPERLINK("https://etp-aktiv.ru/catalog/materialy/truboprovody/2000782588-U112/","Открыть позицию")</x:f>
        <x:v>Открыть позицию</x:v>
      </x:c>
    </x:row>
    <x:row r="16" ht="28" customHeight="1">
      <x:c r="A16" s="16" t="str">
        <x:v>Беловская ГРЭС</x:v>
      </x:c>
      <x:c r="B16" s="16" t="str">
        <x:v>2000791209-U112</x:v>
      </x:c>
      <x:c r="C16" s="16" t="str">
        <x:v>ЗАГЛУШКА НИКЕЛ 1/2" PN10 SFT-0027-000012</x:v>
      </x:c>
      <x:c r="D16" s="16" t="str">
        <x:v>Детали фасонные</x:v>
      </x:c>
      <x:c r="E16" s="16" t="str">
        <x:v>ШТ</x:v>
      </x:c>
      <x:c r="F16" s="21" t="n">
        <x:v>32</x:v>
      </x:c>
      <x:c r="G16" s="17" t="n">
        <x:v>95.16</x:v>
      </x:c>
      <x:c r="H16" s="17" t="n">
        <x:f>G16*F16</x:f>
        <x:v>3045.12</x:v>
      </x:c>
      <x:c r="I16" s="22" t="str">
        <x:f>HYPERLINK("https://etp-aktiv.ru/catalog/materialy/truboprovody/2000791209-U112/","Открыть позицию")</x:f>
        <x:v>Открыть позицию</x:v>
      </x:c>
    </x:row>
    <x:row r="17" ht="28" customHeight="1">
      <x:c r="A17" s="16" t="str">
        <x:v>Беловская ГРЭС</x:v>
      </x:c>
      <x:c r="B17" s="16" t="str">
        <x:v>2000013462-U112</x:v>
      </x:c>
      <x:c r="C17" s="16" t="str">
        <x:v>ЗАДВИЖКА 30С76НЖ DN50 PN63</x:v>
      </x:c>
      <x:c r="D17" s="16" t="str">
        <x:v>Задвижки/клапаны стальные</x:v>
      </x:c>
      <x:c r="E17" s="16" t="str">
        <x:v>ШТ</x:v>
      </x:c>
      <x:c r="F17" s="21" t="n">
        <x:v>2</x:v>
      </x:c>
      <x:c r="G17" s="17" t="n">
        <x:v>11056.2622</x:v>
      </x:c>
      <x:c r="H17" s="17" t="n">
        <x:f>G17*F17</x:f>
        <x:v>22112.5244</x:v>
      </x:c>
      <x:c r="I17" s="22" t="str">
        <x:f>HYPERLINK("https://etp-aktiv.ru/catalog/materialy/truboprovodnaya-armatura-i-komplektuyushchie/2000013462-U112/","Открыть позицию")</x:f>
        <x:v>Открыть позицию</x:v>
      </x:c>
    </x:row>
    <x:row r="18" ht="28" customHeight="1">
      <x:c r="A18" s="16" t="str">
        <x:v>Беловская ГРЭС</x:v>
      </x:c>
      <x:c r="B18" s="16" t="str">
        <x:v>2000576889-U112</x:v>
      </x:c>
      <x:c r="C18" s="16" t="str">
        <x:v>ЗАДВИЖКА КЗ116.1.250.00-Э DN250 PN140</x:v>
      </x:c>
      <x:c r="D18" s="16" t="str">
        <x:v>Трубопроводная арматура высокого давления</x:v>
      </x:c>
      <x:c r="E18" s="16" t="str">
        <x:v>ШТ</x:v>
      </x:c>
      <x:c r="F18" s="21" t="n">
        <x:v>1</x:v>
      </x:c>
      <x:c r="G18" s="17" t="n">
        <x:v>2562000</x:v>
      </x:c>
      <x:c r="H18" s="17" t="n">
        <x:f>G18*F18</x:f>
        <x:v>2562000</x:v>
      </x:c>
      <x:c r="I18" s="22" t="str">
        <x:f>HYPERLINK("https://etp-aktiv.ru/catalog/materialy/truboprovodnaya-armatura-i-komplektuyushchie/2000576889-U112/","Открыть позицию")</x:f>
        <x:v>Открыть позицию</x:v>
      </x:c>
    </x:row>
    <x:row r="19" ht="28" customHeight="1">
      <x:c r="A19" s="16" t="str">
        <x:v>Беловская ГРЭС</x:v>
      </x:c>
      <x:c r="B19" s="16" t="str">
        <x:v>2000795447-U112</x:v>
      </x:c>
      <x:c r="C19" s="16" t="str">
        <x:v>ЗАТВОР 2Н 150/10 09Г2С НЖ EPDM ФЛ Р</x:v>
      </x:c>
      <x:c r="D19" s="16" t="str">
        <x:v>Затворы стальные поворотные</x:v>
      </x:c>
      <x:c r="E19" s="16" t="str">
        <x:v>ШТ</x:v>
      </x:c>
      <x:c r="F19" s="21" t="n">
        <x:v>2</x:v>
      </x:c>
      <x:c r="G19" s="17" t="n">
        <x:v>28817.925</x:v>
      </x:c>
      <x:c r="H19" s="17" t="n">
        <x:f>G19*F19</x:f>
        <x:v>57635.85</x:v>
      </x:c>
      <x:c r="I19" s="22" t="str">
        <x:f>HYPERLINK("https://etp-aktiv.ru/catalog/materialy/truboprovodnaya-armatura-i-komplektuyushchie/2000795447-U112/","Открыть позицию")</x:f>
        <x:v>Открыть позицию</x:v>
      </x:c>
    </x:row>
    <x:row r="20" ht="28" customHeight="1">
      <x:c r="A20" s="16" t="str">
        <x:v>Беловская ГРЭС</x:v>
      </x:c>
      <x:c r="B20" s="16" t="str">
        <x:v>2000731016-U112</x:v>
      </x:c>
      <x:c r="C20" s="16" t="str">
        <x:v>ЗАТВОР 2Н 50/16 СТ20 СТ20 НЖ/ТРГ ФЛ РП</x:v>
      </x:c>
      <x:c r="D20" s="16" t="str">
        <x:v>Затворы стальные поворотные</x:v>
      </x:c>
      <x:c r="E20" s="16" t="str">
        <x:v>ШТ</x:v>
      </x:c>
      <x:c r="F20" s="21" t="n">
        <x:v>7</x:v>
      </x:c>
      <x:c r="G20" s="17" t="n">
        <x:v>34312.5</x:v>
      </x:c>
      <x:c r="H20" s="17" t="n">
        <x:f>G20*F20</x:f>
        <x:v>240187.5</x:v>
      </x:c>
      <x:c r="I20" s="22" t="str">
        <x:f>HYPERLINK("https://etp-aktiv.ru/catalog/materialy/truboprovodnaya-armatura-i-komplektuyushchie/2000731016-U112/","Открыть позицию")</x:f>
        <x:v>Открыть позицию</x:v>
      </x:c>
    </x:row>
    <x:row r="21" ht="28" customHeight="1">
      <x:c r="A21" s="16" t="str">
        <x:v>Беловская ГРЭС</x:v>
      </x:c>
      <x:c r="B21" s="16" t="str">
        <x:v>2000539923-U112</x:v>
      </x:c>
      <x:c r="C21" s="16" t="str">
        <x:v>ЗАТВОР 2Н СТ/СТ ВОДА 150 М 100/16 Р A</x:v>
      </x:c>
      <x:c r="D21" s="16" t="str">
        <x:v>Затворы стальные поворотные</x:v>
      </x:c>
      <x:c r="E21" s="16" t="str">
        <x:v>ШТ</x:v>
      </x:c>
      <x:c r="F21" s="21" t="n">
        <x:v>2</x:v>
      </x:c>
      <x:c r="G21" s="17" t="n">
        <x:v>67862.5</x:v>
      </x:c>
      <x:c r="H21" s="17" t="n">
        <x:f>G21*F21</x:f>
        <x:v>135725</x:v>
      </x:c>
      <x:c r="I21" s="22" t="str">
        <x:f>HYPERLINK("https://etp-aktiv.ru/catalog/materialy/truboprovodnaya-armatura-i-komplektuyushchie/2000539923-U112/","Открыть позицию")</x:f>
        <x:v>Открыть позицию</x:v>
      </x:c>
    </x:row>
    <x:row r="22" ht="28" customHeight="1">
      <x:c r="A22" s="16" t="str">
        <x:v>Беловская ГРЭС</x:v>
      </x:c>
      <x:c r="B22" s="16" t="str">
        <x:v>2000473140-U112</x:v>
      </x:c>
      <x:c r="C22" s="16" t="str">
        <x:v>ЗАТВОР ДИСКОВЫЙ ЗДП-100 DN100 PN16</x:v>
      </x:c>
      <x:c r="D22" s="16" t="str">
        <x:v>Затворы чугунные поворотные</x:v>
      </x:c>
      <x:c r="E22" s="16" t="str">
        <x:v>ШТ</x:v>
      </x:c>
      <x:c r="F22" s="21" t="n">
        <x:v>3</x:v>
      </x:c>
      <x:c r="G22" s="17" t="n">
        <x:v>6735.315</x:v>
      </x:c>
      <x:c r="H22" s="17" t="n">
        <x:f>G22*F22</x:f>
        <x:v>20205.945</x:v>
      </x:c>
      <x:c r="I22" s="22" t="str">
        <x:f>HYPERLINK("https://etp-aktiv.ru/catalog/materialy/truboprovodnaya-armatura-i-komplektuyushchie/2000473140-U112/","Открыть позицию")</x:f>
        <x:v>Открыть позицию</x:v>
      </x:c>
    </x:row>
    <x:row r="23" ht="28" customHeight="1">
      <x:c r="A23" s="16" t="str">
        <x:v>Беловская ГРЭС</x:v>
      </x:c>
      <x:c r="B23" s="16" t="str">
        <x:v>2000539539-U112</x:v>
      </x:c>
      <x:c r="C23" s="16" t="str">
        <x:v>КЛАПАН 15Б3Р DN32 PN10 Р/П МАХОВИК МУФТA</x:v>
      </x:c>
      <x:c r="D23" s="16" t="str">
        <x:v>Арматура из медных сплавов</x:v>
      </x:c>
      <x:c r="E23" s="16" t="str">
        <x:v>ШТ</x:v>
      </x:c>
      <x:c r="F23" s="21" t="n">
        <x:v>5</x:v>
      </x:c>
      <x:c r="G23" s="17" t="n">
        <x:v>754.875</x:v>
      </x:c>
      <x:c r="H23" s="17" t="n">
        <x:f>G23*F23</x:f>
        <x:v>3774.375</x:v>
      </x:c>
      <x:c r="I23" s="22" t="str">
        <x:f>HYPERLINK("https://etp-aktiv.ru/catalog/materialy/truboprovodnaya-armatura-i-komplektuyushchie/2000539539-U112/","Открыть позицию")</x:f>
        <x:v>Открыть позицию</x:v>
      </x:c>
    </x:row>
    <x:row r="24" ht="28" customHeight="1">
      <x:c r="A24" s="16" t="str">
        <x:v>Беловская ГРЭС</x:v>
      </x:c>
      <x:c r="B24" s="16" t="str">
        <x:v>2000539708-U112</x:v>
      </x:c>
      <x:c r="C24" s="16" t="str">
        <x:v>КЛАПАН 16Ч6Р DN100 PN16 Р/П ФЛ А</x:v>
      </x:c>
      <x:c r="D24" s="16" t="str">
        <x:v>Чугунная арматура (кроме затворов)</x:v>
      </x:c>
      <x:c r="E24" s="16" t="str">
        <x:v>ШТ</x:v>
      </x:c>
      <x:c r="F24" s="21" t="n">
        <x:v>3</x:v>
      </x:c>
      <x:c r="G24" s="17" t="n">
        <x:v>8583.92</x:v>
      </x:c>
      <x:c r="H24" s="17" t="n">
        <x:f>G24*F24</x:f>
        <x:v>25751.760000000002</x:v>
      </x:c>
      <x:c r="I24" s="22" t="str">
        <x:f>HYPERLINK("https://etp-aktiv.ru/catalog/materialy/truboprovodnaya-armatura-i-komplektuyushchie/2000539708-U112/","Открыть позицию")</x:f>
        <x:v>Открыть позицию</x:v>
      </x:c>
    </x:row>
    <x:row r="25" ht="28" customHeight="1">
      <x:c r="A25" s="16" t="str">
        <x:v>Беловская ГРЭС</x:v>
      </x:c>
      <x:c r="B25" s="16" t="str">
        <x:v>2000205455-U112</x:v>
      </x:c>
      <x:c r="C25" s="16" t="str">
        <x:v>КЛАПАН 1С-11-31 DN25 PN100</x:v>
      </x:c>
      <x:c r="D25" s="16" t="str">
        <x:v>Трубопроводная арматура высокого давления</x:v>
      </x:c>
      <x:c r="E25" s="16" t="str">
        <x:v>ШТ</x:v>
      </x:c>
      <x:c r="F25" s="21" t="n">
        <x:v>5</x:v>
      </x:c>
      <x:c r="G25" s="17" t="n">
        <x:v>6005.7916</x:v>
      </x:c>
      <x:c r="H25" s="17" t="n">
        <x:f>G25*F25</x:f>
        <x:v>30028.958</x:v>
      </x:c>
      <x:c r="I25" s="22" t="str">
        <x:f>HYPERLINK("https://etp-aktiv.ru/catalog/materialy/truboprovodnaya-armatura-i-komplektuyushchie/2000205455-U112/","Открыть позицию")</x:f>
        <x:v>Открыть позицию</x:v>
      </x:c>
    </x:row>
    <x:row r="26" ht="28" customHeight="1">
      <x:c r="A26" s="16" t="str">
        <x:v>Беловская ГРЭС</x:v>
      </x:c>
      <x:c r="B26" s="16" t="str">
        <x:v>2000580155-U112</x:v>
      </x:c>
      <x:c r="C26" s="16" t="str">
        <x:v>КЛАПАН 1С-11-3М DN20 PN100 РУЧН П/П</x:v>
      </x:c>
      <x:c r="D26" s="16" t="str">
        <x:v>Трубопроводная арматура высокого давления</x:v>
      </x:c>
      <x:c r="E26" s="16" t="str">
        <x:v>ШТ</x:v>
      </x:c>
      <x:c r="F26" s="21" t="n">
        <x:v>2</x:v>
      </x:c>
      <x:c r="G26" s="17" t="n">
        <x:v>6576.105</x:v>
      </x:c>
      <x:c r="H26" s="17" t="n">
        <x:f>G26*F26</x:f>
        <x:v>13152.21</x:v>
      </x:c>
      <x:c r="I26" s="22" t="str">
        <x:f>HYPERLINK("https://etp-aktiv.ru/catalog/materialy/truboprovodnaya-armatura-i-komplektuyushchie/2000580155-U112/","Открыть позицию")</x:f>
        <x:v>Открыть позицию</x:v>
      </x:c>
    </x:row>
    <x:row r="27" ht="28" customHeight="1">
      <x:c r="A27" s="16" t="str">
        <x:v>Беловская ГРЭС</x:v>
      </x:c>
      <x:c r="B27" s="16" t="str">
        <x:v>2000552647-U112</x:v>
      </x:c>
      <x:c r="C27" s="16" t="str">
        <x:v>КЛАПАН 588-10-0 DN10 PN373 РУЧН УПР П/П</x:v>
      </x:c>
      <x:c r="D27" s="16" t="str">
        <x:v>Трубопроводная арматура высокого давления</x:v>
      </x:c>
      <x:c r="E27" s="16" t="str">
        <x:v>ШТ</x:v>
      </x:c>
      <x:c r="F27" s="21" t="n">
        <x:v>3</x:v>
      </x:c>
      <x:c r="G27" s="17" t="n">
        <x:v>7153.47</x:v>
      </x:c>
      <x:c r="H27" s="17" t="n">
        <x:f>G27*F27</x:f>
        <x:v>21460.41</x:v>
      </x:c>
      <x:c r="I27" s="22" t="str">
        <x:f>HYPERLINK("https://etp-aktiv.ru/catalog/materialy/truboprovodnaya-armatura-i-komplektuyushchie/2000552647-U112/","Открыть позицию")</x:f>
        <x:v>Открыть позицию</x:v>
      </x:c>
    </x:row>
    <x:row r="28" ht="28" customHeight="1">
      <x:c r="A28" s="16" t="str">
        <x:v>Беловская ГРЭС</x:v>
      </x:c>
      <x:c r="B28" s="16" t="str">
        <x:v>2000552669-U112</x:v>
      </x:c>
      <x:c r="C28" s="16" t="str">
        <x:v>КЛАПАН 977-175-ЭА DN175 PN137 Э/П П/П</x:v>
      </x:c>
      <x:c r="D28" s="16" t="str">
        <x:v>Трубопроводная арматура высокого давления</x:v>
      </x:c>
      <x:c r="E28" s="16" t="str">
        <x:v>ШТ</x:v>
      </x:c>
      <x:c r="F28" s="21" t="n">
        <x:v>2</x:v>
      </x:c>
      <x:c r="G28" s="17" t="n">
        <x:v>1619435.0272</x:v>
      </x:c>
      <x:c r="H28" s="17" t="n">
        <x:f>G28*F28</x:f>
        <x:v>3238870.0544</x:v>
      </x:c>
      <x:c r="I28" s="22" t="str">
        <x:f>HYPERLINK("https://etp-aktiv.ru/catalog/materialy/truboprovodnaya-armatura-i-komplektuyushchie/2000552669-U112/","Открыть позицию")</x:f>
        <x:v>Открыть позицию</x:v>
      </x:c>
    </x:row>
    <x:row r="29" ht="28" customHeight="1">
      <x:c r="A29" s="16" t="str">
        <x:v>Беловская ГРЭС</x:v>
      </x:c>
      <x:c r="B29" s="16" t="str">
        <x:v>2000552682-U112</x:v>
      </x:c>
      <x:c r="C29" s="16" t="str">
        <x:v>КЛАПАН 999-20-ЭН DN20 PN250 Э/П П/П</x:v>
      </x:c>
      <x:c r="D29" s="16" t="str">
        <x:v>Трубопроводная арматура высокого давления</x:v>
      </x:c>
      <x:c r="E29" s="16" t="str">
        <x:v>ШТ</x:v>
      </x:c>
      <x:c r="F29" s="21" t="n">
        <x:v>2</x:v>
      </x:c>
      <x:c r="G29" s="17" t="n">
        <x:v>48800</x:v>
      </x:c>
      <x:c r="H29" s="17" t="n">
        <x:f>G29*F29</x:f>
        <x:v>97600</x:v>
      </x:c>
      <x:c r="I29" s="22" t="str">
        <x:f>HYPERLINK("https://etp-aktiv.ru/catalog/materialy/truboprovodnaya-armatura-i-komplektuyushchie/2000552682-U112/","Открыть позицию")</x:f>
        <x:v>Открыть позицию</x:v>
      </x:c>
    </x:row>
    <x:row r="30" ht="28" customHeight="1">
      <x:c r="A30" s="16" t="str">
        <x:v>Беловская ГРЭС</x:v>
      </x:c>
      <x:c r="B30" s="16" t="str">
        <x:v>2000795443-U112</x:v>
      </x:c>
      <x:c r="C30" s="16" t="str">
        <x:v>КЛАПАН ОБРАТНЫЙ 19С16НЖ DN50 PN16 БП ФЛ</x:v>
      </x:c>
      <x:c r="D30" s="16" t="str">
        <x:v>Обратная арматура</x:v>
      </x:c>
      <x:c r="E30" s="16" t="str">
        <x:v>ШТ</x:v>
      </x:c>
      <x:c r="F30" s="21" t="n">
        <x:v>1</x:v>
      </x:c>
      <x:c r="G30" s="17" t="n">
        <x:v>6862.5</x:v>
      </x:c>
      <x:c r="H30" s="17" t="n">
        <x:f>G30*F30</x:f>
        <x:v>6862.5</x:v>
      </x:c>
      <x:c r="I30" s="22" t="str">
        <x:f>HYPERLINK("https://etp-aktiv.ru/catalog/materialy/truboprovodnaya-armatura-i-komplektuyushchie/2000795443-U112/","Открыть позицию")</x:f>
        <x:v>Открыть позицию</x:v>
      </x:c>
    </x:row>
    <x:row r="31" ht="28" customHeight="1">
      <x:c r="A31" s="16" t="str">
        <x:v>Беловская ГРЭС</x:v>
      </x:c>
      <x:c r="B31" s="16" t="str">
        <x:v>2000774174-U112</x:v>
      </x:c>
      <x:c r="C31" s="16" t="str">
        <x:v>КОЛЕНО 60°17Г1С 1220*11 138ОСТ34.10.752</x:v>
      </x:c>
      <x:c r="D31" s="16" t="str">
        <x:v>Детали фасонные</x:v>
      </x:c>
      <x:c r="E31" s="16" t="str">
        <x:v>ШТ</x:v>
      </x:c>
      <x:c r="F31" s="21" t="n">
        <x:v>1</x:v>
      </x:c>
      <x:c r="G31" s="17" t="n">
        <x:v>72353.99100000001</x:v>
      </x:c>
      <x:c r="H31" s="17" t="n">
        <x:f>G31*F31</x:f>
        <x:v>72353.99100000001</x:v>
      </x:c>
      <x:c r="I31" s="22" t="str">
        <x:f>HYPERLINK("https://etp-aktiv.ru/catalog/materialy/truboprovody/2000774174-U112/","Открыть позицию")</x:f>
        <x:v>Открыть позицию</x:v>
      </x:c>
    </x:row>
    <x:row r="32" ht="28" customHeight="1">
      <x:c r="A32" s="16" t="str">
        <x:v>Беловская ГРЭС</x:v>
      </x:c>
      <x:c r="B32" s="16" t="str">
        <x:v>2000540233-U112</x:v>
      </x:c>
      <x:c r="C32" s="16" t="str">
        <x:v>КРАН 09Г2С СП ВОДА 200° ПП 200/25 ЭП A</x:v>
      </x:c>
      <x:c r="D32" s="16" t="str">
        <x:v>Краны шаровые стальные</x:v>
      </x:c>
      <x:c r="E32" s="16" t="str">
        <x:v>ШТ</x:v>
      </x:c>
      <x:c r="F32" s="21" t="n">
        <x:v>7</x:v>
      </x:c>
      <x:c r="G32" s="17" t="n">
        <x:v>103190.65</x:v>
      </x:c>
      <x:c r="H32" s="17" t="n">
        <x:f>G32*F32</x:f>
        <x:v>722334.5499999999</x:v>
      </x:c>
      <x:c r="I32" s="22" t="str">
        <x:f>HYPERLINK("https://etp-aktiv.ru/catalog/materialy/truboprovodnaya-armatura-i-komplektuyushchie/2000540233-U112/","Открыть позицию")</x:f>
        <x:v>Открыть позицию</x:v>
      </x:c>
    </x:row>
    <x:row r="33" ht="28" customHeight="1">
      <x:c r="A33" s="16" t="str">
        <x:v>Беловская ГРЭС</x:v>
      </x:c>
      <x:c r="B33" s="16" t="str">
        <x:v>2000748194-U112</x:v>
      </x:c>
      <x:c r="C33" s="16" t="str">
        <x:v>НАКЛАДКА 2-25 ОСТ34-10-733-93</x:v>
      </x:c>
      <x:c r="D33" s="16" t="str">
        <x:v>Система опорно-подвесная</x:v>
      </x:c>
      <x:c r="E33" s="16" t="str">
        <x:v>ШТ</x:v>
      </x:c>
      <x:c r="F33" s="21" t="n">
        <x:v>4</x:v>
      </x:c>
      <x:c r="G33" s="17" t="n">
        <x:v>1014.125</x:v>
      </x:c>
      <x:c r="H33" s="17" t="n">
        <x:f>G33*F33</x:f>
        <x:v>4056.5</x:v>
      </x:c>
      <x:c r="I33" s="22" t="str">
        <x:f>HYPERLINK("https://etp-aktiv.ru/catalog/materialy/truboprovody/2000748194-U112/","Открыть позицию")</x:f>
        <x:v>Открыть позицию</x:v>
      </x:c>
    </x:row>
    <x:row r="34" ht="28" customHeight="1">
      <x:c r="A34" s="16" t="str">
        <x:v>Беловская ГРЭС</x:v>
      </x:c>
      <x:c r="B34" s="16" t="str">
        <x:v>2000553077-U112</x:v>
      </x:c>
      <x:c r="C34" s="16" t="str">
        <x:v>НАКЛАДКА 2-35 ОСТ34-10-733-93</x:v>
      </x:c>
      <x:c r="D34" s="16" t="str">
        <x:v>Система опорно-подвесная</x:v>
      </x:c>
      <x:c r="E34" s="16" t="str">
        <x:v>ШТ</x:v>
      </x:c>
      <x:c r="F34" s="21" t="n">
        <x:v>4</x:v>
      </x:c>
      <x:c r="G34" s="17" t="n">
        <x:v>1563.125</x:v>
      </x:c>
      <x:c r="H34" s="17" t="n">
        <x:f>G34*F34</x:f>
        <x:v>6252.5</x:v>
      </x:c>
      <x:c r="I34" s="22" t="str">
        <x:f>HYPERLINK("https://etp-aktiv.ru/catalog/materialy/truboprovody/2000553077-U112/","Открыть позицию")</x:f>
        <x:v>Открыть позицию</x:v>
      </x:c>
    </x:row>
    <x:row r="35" ht="28" customHeight="1">
      <x:c r="A35" s="16" t="str">
        <x:v>Беловская ГРЭС</x:v>
      </x:c>
      <x:c r="B35" s="16" t="str">
        <x:v>2000748192-U112</x:v>
      </x:c>
      <x:c r="C35" s="16" t="str">
        <x:v>НАКЛАДКА 2-39 ОСТ34-10-733-93</x:v>
      </x:c>
      <x:c r="D35" s="16" t="str">
        <x:v>Система опорно-подвесная</x:v>
      </x:c>
      <x:c r="E35" s="16" t="str">
        <x:v>ШТ</x:v>
      </x:c>
      <x:c r="F35" s="21" t="n">
        <x:v>5</x:v>
      </x:c>
      <x:c r="G35" s="17" t="n">
        <x:v>4027.4274</x:v>
      </x:c>
      <x:c r="H35" s="17" t="n">
        <x:f>G35*F35</x:f>
        <x:v>20137.137</x:v>
      </x:c>
      <x:c r="I35" s="22" t="str">
        <x:f>HYPERLINK("https://etp-aktiv.ru/catalog/materialy/truboprovody/2000748192-U112/","Открыть позицию")</x:f>
        <x:v>Открыть позицию</x:v>
      </x:c>
    </x:row>
    <x:row r="36" ht="28" customHeight="1">
      <x:c r="A36" s="16" t="str">
        <x:v>Беловская ГРЭС</x:v>
      </x:c>
      <x:c r="B36" s="16" t="str">
        <x:v>2000782078-U112</x:v>
      </x:c>
      <x:c r="C36" s="16" t="str">
        <x:v>ОПОРА N14,16 Л8-511.000</x:v>
      </x:c>
      <x:c r="D36" s="16" t="str">
        <x:v>Система опорно-подвесная</x:v>
      </x:c>
      <x:c r="E36" s="16" t="str">
        <x:v>ШТ</x:v>
      </x:c>
      <x:c r="F36" s="21" t="n">
        <x:v>15</x:v>
      </x:c>
      <x:c r="G36" s="17" t="n">
        <x:v>288.22499999999997</x:v>
      </x:c>
      <x:c r="H36" s="17" t="n">
        <x:f>G36*F36</x:f>
        <x:v>4323.374999999999</x:v>
      </x:c>
      <x:c r="I36" s="22" t="str">
        <x:f>HYPERLINK("https://etp-aktiv.ru/catalog/materialy/truboprovody/2000782078-U112/","Открыть позицию")</x:f>
        <x:v>Открыть позицию</x:v>
      </x:c>
    </x:row>
    <x:row r="37" ht="28" customHeight="1">
      <x:c r="A37" s="16" t="str">
        <x:v>Беловская ГРЭС</x:v>
      </x:c>
      <x:c r="B37" s="16" t="str">
        <x:v>2000782079-U112</x:v>
      </x:c>
      <x:c r="C37" s="16" t="str">
        <x:v>ОПОРА N25 Л8-511.000-02</x:v>
      </x:c>
      <x:c r="D37" s="16" t="str">
        <x:v>Система опорно-подвесная</x:v>
      </x:c>
      <x:c r="E37" s="16" t="str">
        <x:v>ШТ</x:v>
      </x:c>
      <x:c r="F37" s="21" t="n">
        <x:v>5</x:v>
      </x:c>
      <x:c r="G37" s="17" t="n">
        <x:v>322.54359999999997</x:v>
      </x:c>
      <x:c r="H37" s="17" t="n">
        <x:f>G37*F37</x:f>
        <x:v>1612.7179999999998</x:v>
      </x:c>
      <x:c r="I37" s="22" t="str">
        <x:f>HYPERLINK("https://etp-aktiv.ru/catalog/materialy/truboprovody/2000782079-U112/","Открыть позицию")</x:f>
        <x:v>Открыть позицию</x:v>
      </x:c>
    </x:row>
    <x:row r="38" ht="28" customHeight="1">
      <x:c r="A38" s="16" t="str">
        <x:v>Беловская ГРЭС</x:v>
      </x:c>
      <x:c r="B38" s="16" t="str">
        <x:v>2000782100-U112</x:v>
      </x:c>
      <x:c r="C38" s="16" t="str">
        <x:v>ОПОРА N32 Л8-511.000-04</x:v>
      </x:c>
      <x:c r="D38" s="16" t="str">
        <x:v>Система опорно-подвесная</x:v>
      </x:c>
      <x:c r="E38" s="16" t="str">
        <x:v>ШТ</x:v>
      </x:c>
      <x:c r="F38" s="21" t="n">
        <x:v>5</x:v>
      </x:c>
      <x:c r="G38" s="17" t="n">
        <x:v>432.3436</x:v>
      </x:c>
      <x:c r="H38" s="17" t="n">
        <x:f>G38*F38</x:f>
        <x:v>2161.718</x:v>
      </x:c>
      <x:c r="I38" s="22" t="str">
        <x:f>HYPERLINK("https://etp-aktiv.ru/catalog/materialy/truboprovody/2000782100-U112/","Открыть позицию")</x:f>
        <x:v>Открыть позицию</x:v>
      </x:c>
    </x:row>
    <x:row r="39" ht="28" customHeight="1">
      <x:c r="A39" s="16" t="str">
        <x:v>Беловская ГРЭС</x:v>
      </x:c>
      <x:c r="B39" s="16" t="str">
        <x:v>2000782101-U112</x:v>
      </x:c>
      <x:c r="C39" s="16" t="str">
        <x:v>ОПОРА N38 Л8-511.000-06</x:v>
      </x:c>
      <x:c r="D39" s="16" t="str">
        <x:v>Система опорно-подвесная</x:v>
      </x:c>
      <x:c r="E39" s="16" t="str">
        <x:v>ШТ</x:v>
      </x:c>
      <x:c r="F39" s="21" t="n">
        <x:v>5</x:v>
      </x:c>
      <x:c r="G39" s="17" t="n">
        <x:v>432.3436</x:v>
      </x:c>
      <x:c r="H39" s="17" t="n">
        <x:f>G39*F39</x:f>
        <x:v>2161.718</x:v>
      </x:c>
      <x:c r="I39" s="22" t="str">
        <x:f>HYPERLINK("https://etp-aktiv.ru/catalog/materialy/truboprovody/2000782101-U112/","Открыть позицию")</x:f>
        <x:v>Открыть позицию</x:v>
      </x:c>
    </x:row>
    <x:row r="40" ht="28" customHeight="1">
      <x:c r="A40" s="16" t="str">
        <x:v>Беловская ГРЭС</x:v>
      </x:c>
      <x:c r="B40" s="16" t="str">
        <x:v>2000782102-U112</x:v>
      </x:c>
      <x:c r="C40" s="16" t="str">
        <x:v>ОПОРА N57 Л8-511.000-10</x:v>
      </x:c>
      <x:c r="D40" s="16" t="str">
        <x:v>Система опорно-подвесная</x:v>
      </x:c>
      <x:c r="E40" s="16" t="str">
        <x:v>ШТ</x:v>
      </x:c>
      <x:c r="F40" s="21" t="n">
        <x:v>5</x:v>
      </x:c>
      <x:c r="G40" s="17" t="n">
        <x:v>583.6602</x:v>
      </x:c>
      <x:c r="H40" s="17" t="n">
        <x:f>G40*F40</x:f>
        <x:v>2918.3010000000004</x:v>
      </x:c>
      <x:c r="I40" s="22" t="str">
        <x:f>HYPERLINK("https://etp-aktiv.ru/catalog/materialy/truboprovody/2000782102-U112/","Открыть позицию")</x:f>
        <x:v>Открыть позицию</x:v>
      </x:c>
    </x:row>
    <x:row r="41" ht="28" customHeight="1">
      <x:c r="A41" s="16" t="str">
        <x:v>Беловская ГРЭС</x:v>
      </x:c>
      <x:c r="B41" s="16" t="str">
        <x:v>2000732616-U112</x:v>
      </x:c>
      <x:c r="C41" s="16" t="str">
        <x:v>ОТВОД 30° 09Г2С DN273 9 ГОСТ17375-01</x:v>
      </x:c>
      <x:c r="D41" s="16" t="str">
        <x:v>Детали фасонные</x:v>
      </x:c>
      <x:c r="E41" s="16" t="str">
        <x:v>ШТ</x:v>
      </x:c>
      <x:c r="F41" s="21" t="n">
        <x:v>6</x:v>
      </x:c>
      <x:c r="G41" s="17" t="n">
        <x:v>4568.1436</x:v>
      </x:c>
      <x:c r="H41" s="17" t="n">
        <x:f>G41*F41</x:f>
        <x:v>27408.861600000004</x:v>
      </x:c>
      <x:c r="I41" s="22" t="str">
        <x:f>HYPERLINK("https://etp-aktiv.ru/catalog/materialy/truboprovody/2000732616-U112/","Открыть позицию")</x:f>
        <x:v>Открыть позицию</x:v>
      </x:c>
    </x:row>
    <x:row r="42" ht="28" customHeight="1">
      <x:c r="A42" s="16" t="str">
        <x:v>Беловская ГРЭС</x:v>
      </x:c>
      <x:c r="B42" s="16" t="str">
        <x:v>2000732617-U112</x:v>
      </x:c>
      <x:c r="C42" s="16" t="str">
        <x:v>ОТВОД 30° 09Г2С DN325 9 ГОСТ17375-01</x:v>
      </x:c>
      <x:c r="D42" s="16" t="str">
        <x:v>Детали фасонные</x:v>
      </x:c>
      <x:c r="E42" s="16" t="str">
        <x:v>ШТ</x:v>
      </x:c>
      <x:c r="F42" s="21" t="n">
        <x:v>5</x:v>
      </x:c>
      <x:c r="G42" s="17" t="n">
        <x:v>5795</x:v>
      </x:c>
      <x:c r="H42" s="17" t="n">
        <x:f>G42*F42</x:f>
        <x:v>28975</x:v>
      </x:c>
      <x:c r="I42" s="22" t="str">
        <x:f>HYPERLINK("https://etp-aktiv.ru/catalog/materialy/truboprovody/2000732617-U112/","Открыть позицию")</x:f>
        <x:v>Открыть позицию</x:v>
      </x:c>
    </x:row>
    <x:row r="43" ht="28" customHeight="1">
      <x:c r="A43" s="16" t="str">
        <x:v>Беловская ГРЭС</x:v>
      </x:c>
      <x:c r="B43" s="16" t="str">
        <x:v>2000220518-U112</x:v>
      </x:c>
      <x:c r="C43" s="16" t="str">
        <x:v>ОТВОД 30° 09Г2С DN57 5 ГОСТ17375-01</x:v>
      </x:c>
      <x:c r="D43" s="16" t="str">
        <x:v>Детали фасонные</x:v>
      </x:c>
      <x:c r="E43" s="16" t="str">
        <x:v>ШТ</x:v>
      </x:c>
      <x:c r="F43" s="21" t="n">
        <x:v>8</x:v>
      </x:c>
      <x:c r="G43" s="17" t="n">
        <x:v>205.875</x:v>
      </x:c>
      <x:c r="H43" s="17" t="n">
        <x:f>G43*F43</x:f>
        <x:v>1647</x:v>
      </x:c>
      <x:c r="I43" s="22" t="str">
        <x:f>HYPERLINK("https://etp-aktiv.ru/catalog/materialy/truboprovody/2000220518-U112/","Открыть позицию")</x:f>
        <x:v>Открыть позицию</x:v>
      </x:c>
    </x:row>
    <x:row r="44" ht="28" customHeight="1">
      <x:c r="A44" s="16" t="str">
        <x:v>Беловская ГРЭС</x:v>
      </x:c>
      <x:c r="B44" s="16" t="str">
        <x:v>2000750587-U112</x:v>
      </x:c>
      <x:c r="C44" s="16" t="str">
        <x:v>ОТВОД 45° 09Г2С DN325 8 PNГОСТ17375-2001</x:v>
      </x:c>
      <x:c r="D44" s="16" t="str">
        <x:v>Детали фасонные</x:v>
      </x:c>
      <x:c r="E44" s="16" t="str">
        <x:v>ШТ</x:v>
      </x:c>
      <x:c r="F44" s="21" t="n">
        <x:v>1</x:v>
      </x:c>
      <x:c r="G44" s="17" t="n">
        <x:v>3879.8318</x:v>
      </x:c>
      <x:c r="H44" s="17" t="n">
        <x:f>G44*F44</x:f>
        <x:v>3879.8318</x:v>
      </x:c>
      <x:c r="I44" s="22" t="str">
        <x:f>HYPERLINK("https://etp-aktiv.ru/catalog/materialy/truboprovody/2000750587-U112/","Открыть позицию")</x:f>
        <x:v>Открыть позицию</x:v>
      </x:c>
    </x:row>
    <x:row r="45" ht="28" customHeight="1">
      <x:c r="A45" s="16" t="str">
        <x:v>Беловская ГРЭС</x:v>
      </x:c>
      <x:c r="B45" s="16" t="str">
        <x:v>2000893328-U112</x:v>
      </x:c>
      <x:c r="C45" s="16" t="str">
        <x:v>ОТВОД 45° 09Г2С DN426*12 ГОСТ30753-01</x:v>
      </x:c>
      <x:c r="D45" s="16" t="str">
        <x:v>Детали фасонные</x:v>
      </x:c>
      <x:c r="E45" s="16" t="str">
        <x:v>ШТ</x:v>
      </x:c>
      <x:c r="F45" s="21" t="n">
        <x:v>2</x:v>
      </x:c>
      <x:c r="G45" s="17" t="n">
        <x:v>15250</x:v>
      </x:c>
      <x:c r="H45" s="17" t="n">
        <x:f>G45*F45</x:f>
        <x:v>30500</x:v>
      </x:c>
      <x:c r="I45" s="22" t="str">
        <x:f>HYPERLINK("https://etp-aktiv.ru/catalog/materialy/truboprovody/2000893328-U112/","Открыть позицию")</x:f>
        <x:v>Открыть позицию</x:v>
      </x:c>
    </x:row>
    <x:row r="46" ht="28" customHeight="1">
      <x:c r="A46" s="16" t="str">
        <x:v>Беловская ГРЭС</x:v>
      </x:c>
      <x:c r="B46" s="16" t="str">
        <x:v>2000745485-U112</x:v>
      </x:c>
      <x:c r="C46" s="16" t="str">
        <x:v>ОТВОД 45° 09Г2С DN720 9 ГОСТ17375-01</x:v>
      </x:c>
      <x:c r="D46" s="16" t="str">
        <x:v>Детали фасонные</x:v>
      </x:c>
      <x:c r="E46" s="16" t="str">
        <x:v>ШТ</x:v>
      </x:c>
      <x:c r="F46" s="21" t="n">
        <x:v>2</x:v>
      </x:c>
      <x:c r="G46" s="17" t="n">
        <x:v>49551.825</x:v>
      </x:c>
      <x:c r="H46" s="17" t="n">
        <x:f>G46*F46</x:f>
        <x:v>99103.65</x:v>
      </x:c>
      <x:c r="I46" s="22" t="str">
        <x:f>HYPERLINK("https://etp-aktiv.ru/catalog/materialy/truboprovody/2000745485-U112/","Открыть позицию")</x:f>
        <x:v>Открыть позицию</x:v>
      </x:c>
    </x:row>
    <x:row r="47" ht="28" customHeight="1">
      <x:c r="A47" s="16" t="str">
        <x:v>Беловская ГРЭС</x:v>
      </x:c>
      <x:c r="B47" s="16" t="str">
        <x:v>2000575314-U112</x:v>
      </x:c>
      <x:c r="C47" s="16" t="str">
        <x:v>ОТВОД 45° 17Г1С 720*10 ГОСТ30753-2001</x:v>
      </x:c>
      <x:c r="D47" s="16" t="str">
        <x:v>Детали фасонные</x:v>
      </x:c>
      <x:c r="E47" s="16" t="str">
        <x:v>ШТ</x:v>
      </x:c>
      <x:c r="F47" s="21" t="n">
        <x:v>1</x:v>
      </x:c>
      <x:c r="G47" s="17" t="n">
        <x:v>39802.5</x:v>
      </x:c>
      <x:c r="H47" s="17" t="n">
        <x:f>G47*F47</x:f>
        <x:v>39802.5</x:v>
      </x:c>
      <x:c r="I47" s="22" t="str">
        <x:f>HYPERLINK("https://etp-aktiv.ru/catalog/materialy/truboprovody/2000575314-U112/","Открыть позицию")</x:f>
        <x:v>Открыть позицию</x:v>
      </x:c>
    </x:row>
    <x:row r="48" ht="28" customHeight="1">
      <x:c r="A48" s="16" t="str">
        <x:v>Беловская ГРЭС</x:v>
      </x:c>
      <x:c r="B48" s="16" t="str">
        <x:v>2000568165-U112</x:v>
      </x:c>
      <x:c r="C48" s="16" t="str">
        <x:v>ОТВОД 45° 17Г1С 720*9 ГОСТ30753-2001</x:v>
      </x:c>
      <x:c r="D48" s="16" t="str">
        <x:v>Детали фасонные</x:v>
      </x:c>
      <x:c r="E48" s="16" t="str">
        <x:v>ШТ</x:v>
      </x:c>
      <x:c r="F48" s="21" t="n">
        <x:v>49</x:v>
      </x:c>
      <x:c r="G48" s="17" t="n">
        <x:v>44225</x:v>
      </x:c>
      <x:c r="H48" s="17" t="n">
        <x:f>G48*F48</x:f>
        <x:v>2167025</x:v>
      </x:c>
      <x:c r="I48" s="22" t="str">
        <x:f>HYPERLINK("https://etp-aktiv.ru/catalog/materialy/truboprovody/2000568165-U112/","Открыть позицию")</x:f>
        <x:v>Открыть позицию</x:v>
      </x:c>
    </x:row>
    <x:row r="49" ht="28" customHeight="1">
      <x:c r="A49" s="16" t="str">
        <x:v>Беловская ГРЭС</x:v>
      </x:c>
      <x:c r="B49" s="16" t="str">
        <x:v>2000766831-U112</x:v>
      </x:c>
      <x:c r="C49" s="16" t="str">
        <x:v>ОТВОД 45° 17Г1С DN377*10 ГОСТ30753-01</x:v>
      </x:c>
      <x:c r="D49" s="16" t="str">
        <x:v>Детали фасонные</x:v>
      </x:c>
      <x:c r="E49" s="16" t="str">
        <x:v>ШТ</x:v>
      </x:c>
      <x:c r="F49" s="21" t="n">
        <x:v>1</x:v>
      </x:c>
      <x:c r="G49" s="17" t="n">
        <x:v>12300.0034</x:v>
      </x:c>
      <x:c r="H49" s="17" t="n">
        <x:f>G49*F49</x:f>
        <x:v>12300.0034</x:v>
      </x:c>
      <x:c r="I49" s="22" t="str">
        <x:f>HYPERLINK("https://etp-aktiv.ru/catalog/materialy/truboprovody/2000766831-U112/","Открыть позицию")</x:f>
        <x:v>Открыть позицию</x:v>
      </x:c>
    </x:row>
    <x:row r="50" ht="28" customHeight="1">
      <x:c r="A50" s="16" t="str">
        <x:v>Беловская ГРЭС</x:v>
      </x:c>
      <x:c r="B50" s="16" t="str">
        <x:v>2000745483-U112</x:v>
      </x:c>
      <x:c r="C50" s="16" t="str">
        <x:v>ОТВОД 45° СТ20 DN325 10 ГОСТ17375-01</x:v>
      </x:c>
      <x:c r="D50" s="16" t="str">
        <x:v>Детали фасонные</x:v>
      </x:c>
      <x:c r="E50" s="16" t="str">
        <x:v>ШТ</x:v>
      </x:c>
      <x:c r="F50" s="21" t="n">
        <x:v>2</x:v>
      </x:c>
      <x:c r="G50" s="17" t="n">
        <x:v>5900.005399999999</x:v>
      </x:c>
      <x:c r="H50" s="17" t="n">
        <x:f>G50*F50</x:f>
        <x:v>11800.010799999998</x:v>
      </x:c>
      <x:c r="I50" s="22" t="str">
        <x:f>HYPERLINK("https://etp-aktiv.ru/catalog/materialy/truboprovody/2000745483-U112/","Открыть позицию")</x:f>
        <x:v>Открыть позицию</x:v>
      </x:c>
    </x:row>
    <x:row r="51" ht="28" customHeight="1">
      <x:c r="A51" s="16" t="str">
        <x:v>Беловская ГРЭС</x:v>
      </x:c>
      <x:c r="B51" s="16" t="str">
        <x:v>2000746413-U112</x:v>
      </x:c>
      <x:c r="C51" s="16" t="str">
        <x:v>ОТВОД 60° 09Г2С DN219 8 ГОСТ30753-01</x:v>
      </x:c>
      <x:c r="D51" s="16" t="str">
        <x:v>Детали фасонные</x:v>
      </x:c>
      <x:c r="E51" s="16" t="str">
        <x:v>ШТ</x:v>
      </x:c>
      <x:c r="F51" s="21" t="n">
        <x:v>4</x:v>
      </x:c>
      <x:c r="G51" s="17" t="n">
        <x:v>3550.0048</x:v>
      </x:c>
      <x:c r="H51" s="17" t="n">
        <x:f>G51*F51</x:f>
        <x:v>14200.0192</x:v>
      </x:c>
      <x:c r="I51" s="22" t="str">
        <x:f>HYPERLINK("https://etp-aktiv.ru/catalog/materialy/truboprovody/2000746413-U112/","Открыть позицию")</x:f>
        <x:v>Открыть позицию</x:v>
      </x:c>
    </x:row>
    <x:row r="52" ht="28" customHeight="1">
      <x:c r="A52" s="16" t="str">
        <x:v>Беловская ГРЭС</x:v>
      </x:c>
      <x:c r="B52" s="16" t="str">
        <x:v>2000745482-U112</x:v>
      </x:c>
      <x:c r="C52" s="16" t="str">
        <x:v>ОТВОД 60° 09Г2С DN325 9 ГОСТ17375-01</x:v>
      </x:c>
      <x:c r="D52" s="16" t="str">
        <x:v>Детали фасонные</x:v>
      </x:c>
      <x:c r="E52" s="16" t="str">
        <x:v>ШТ</x:v>
      </x:c>
      <x:c r="F52" s="21" t="n">
        <x:v>2</x:v>
      </x:c>
      <x:c r="G52" s="17" t="n">
        <x:v>4725.2918</x:v>
      </x:c>
      <x:c r="H52" s="17" t="n">
        <x:f>G52*F52</x:f>
        <x:v>9450.5836</x:v>
      </x:c>
      <x:c r="I52" s="22" t="str">
        <x:f>HYPERLINK("https://etp-aktiv.ru/catalog/materialy/truboprovody/2000745482-U112/","Открыть позицию")</x:f>
        <x:v>Открыть позицию</x:v>
      </x:c>
    </x:row>
    <x:row r="53" ht="28" customHeight="1">
      <x:c r="A53" s="16" t="str">
        <x:v>Беловская ГРЭС</x:v>
      </x:c>
      <x:c r="B53" s="16" t="str">
        <x:v>2000782645-U112</x:v>
      </x:c>
      <x:c r="C53" s="16" t="str">
        <x:v>ОТВОД 60° 09Г2С DN57*4 ГОСТ17375-2001</x:v>
      </x:c>
      <x:c r="D53" s="16" t="str">
        <x:v>Детали фасонные</x:v>
      </x:c>
      <x:c r="E53" s="16" t="str">
        <x:v>ШТ</x:v>
      </x:c>
      <x:c r="F53" s="21" t="n">
        <x:v>2</x:v>
      </x:c>
      <x:c r="G53" s="17" t="n">
        <x:v>245.525</x:v>
      </x:c>
      <x:c r="H53" s="17" t="n">
        <x:f>G53*F53</x:f>
        <x:v>491.05</x:v>
      </x:c>
      <x:c r="I53" s="22" t="str">
        <x:f>HYPERLINK("https://etp-aktiv.ru/catalog/materialy/truboprovody/2000782645-U112/","Открыть позицию")</x:f>
        <x:v>Открыть позицию</x:v>
      </x:c>
    </x:row>
    <x:row r="54" ht="28" customHeight="1">
      <x:c r="A54" s="16" t="str">
        <x:v>Беловская ГРЭС</x:v>
      </x:c>
      <x:c r="B54" s="16" t="str">
        <x:v>2000568169-U112</x:v>
      </x:c>
      <x:c r="C54" s="16" t="str">
        <x:v>ОТВОД 60° 17Г1С 720*9 ГОСТ30753-2001</x:v>
      </x:c>
      <x:c r="D54" s="16" t="str">
        <x:v>Детали фасонные</x:v>
      </x:c>
      <x:c r="E54" s="16" t="str">
        <x:v>ШТ</x:v>
      </x:c>
      <x:c r="F54" s="21" t="n">
        <x:v>2</x:v>
      </x:c>
      <x:c r="G54" s="17" t="n">
        <x:v>68620.425</x:v>
      </x:c>
      <x:c r="H54" s="17" t="n">
        <x:f>G54*F54</x:f>
        <x:v>137240.85</x:v>
      </x:c>
      <x:c r="I54" s="22" t="str">
        <x:f>HYPERLINK("https://etp-aktiv.ru/catalog/materialy/truboprovody/2000568169-U112/","Открыть позицию")</x:f>
        <x:v>Открыть позицию</x:v>
      </x:c>
    </x:row>
    <x:row r="55" ht="28" customHeight="1">
      <x:c r="A55" s="16" t="str">
        <x:v>Беловская ГРЭС</x:v>
      </x:c>
      <x:c r="B55" s="16" t="str">
        <x:v>2000766832-U112</x:v>
      </x:c>
      <x:c r="C55" s="16" t="str">
        <x:v>ОТВОД 60° 17Г1С DN630*10 ГОСТ30753-01</x:v>
      </x:c>
      <x:c r="D55" s="16" t="str">
        <x:v>Детали фасонные</x:v>
      </x:c>
      <x:c r="E55" s="16" t="str">
        <x:v>ШТ</x:v>
      </x:c>
      <x:c r="F55" s="21" t="n">
        <x:v>2</x:v>
      </x:c>
      <x:c r="G55" s="17" t="n">
        <x:v>26192.1556</x:v>
      </x:c>
      <x:c r="H55" s="17" t="n">
        <x:f>G55*F55</x:f>
        <x:v>52384.3112</x:v>
      </x:c>
      <x:c r="I55" s="22" t="str">
        <x:f>HYPERLINK("https://etp-aktiv.ru/catalog/materialy/truboprovody/2000766832-U112/","Открыть позицию")</x:f>
        <x:v>Открыть позицию</x:v>
      </x:c>
    </x:row>
    <x:row r="56" ht="28" customHeight="1">
      <x:c r="A56" s="16" t="str">
        <x:v>Беловская ГРЭС</x:v>
      </x:c>
      <x:c r="B56" s="16" t="str">
        <x:v>2000766834-U112</x:v>
      </x:c>
      <x:c r="C56" s="16" t="str">
        <x:v>ОТВОД 60° 17Г1С DN630*9 ГОСТ30753-01</x:v>
      </x:c>
      <x:c r="D56" s="16" t="str">
        <x:v>Детали фасонные</x:v>
      </x:c>
      <x:c r="E56" s="16" t="str">
        <x:v>ШТ</x:v>
      </x:c>
      <x:c r="F56" s="21" t="n">
        <x:v>1</x:v>
      </x:c>
      <x:c r="G56" s="17" t="n">
        <x:v>26192.1556</x:v>
      </x:c>
      <x:c r="H56" s="17" t="n">
        <x:f>G56*F56</x:f>
        <x:v>26192.1556</x:v>
      </x:c>
      <x:c r="I56" s="22" t="str">
        <x:f>HYPERLINK("https://etp-aktiv.ru/catalog/materialy/truboprovody/2000766834-U112/","Открыть позицию")</x:f>
        <x:v>Открыть позицию</x:v>
      </x:c>
    </x:row>
    <x:row r="57" ht="28" customHeight="1">
      <x:c r="A57" s="16" t="str">
        <x:v>Беловская ГРЭС</x:v>
      </x:c>
      <x:c r="B57" s="16" t="str">
        <x:v>2000766836-U112</x:v>
      </x:c>
      <x:c r="C57" s="16" t="str">
        <x:v>ОТВОД 60° 17Г1С DN820*10 ГОСТ30753-01</x:v>
      </x:c>
      <x:c r="D57" s="16" t="str">
        <x:v>Детали фасонные</x:v>
      </x:c>
      <x:c r="E57" s="16" t="str">
        <x:v>ШТ</x:v>
      </x:c>
      <x:c r="F57" s="21" t="n">
        <x:v>2</x:v>
      </x:c>
      <x:c r="G57" s="17" t="n">
        <x:v>73200</x:v>
      </x:c>
      <x:c r="H57" s="17" t="n">
        <x:f>G57*F57</x:f>
        <x:v>146400</x:v>
      </x:c>
      <x:c r="I57" s="22" t="str">
        <x:f>HYPERLINK("https://etp-aktiv.ru/catalog/materialy/truboprovody/2000766836-U112/","Открыть позицию")</x:f>
        <x:v>Открыть позицию</x:v>
      </x:c>
    </x:row>
    <x:row r="58" ht="28" customHeight="1">
      <x:c r="A58" s="16" t="str">
        <x:v>Беловская ГРЭС</x:v>
      </x:c>
      <x:c r="B58" s="16" t="str">
        <x:v>2000557775-U112</x:v>
      </x:c>
      <x:c r="C58" s="16" t="str">
        <x:v>ОТВОД 90 133*18-1942 15Х1М1Ф195ЦКТИ32105</x:v>
      </x:c>
      <x:c r="D58" s="16" t="str">
        <x:v>Трубопроводы и элементы трубопроводов высокого давления</x:v>
      </x:c>
      <x:c r="E58" s="16" t="str">
        <x:v>ШТ</x:v>
      </x:c>
      <x:c r="F58" s="21" t="n">
        <x:v>2</x:v>
      </x:c>
      <x:c r="G58" s="17" t="n">
        <x:v>68681.54699999999</x:v>
      </x:c>
      <x:c r="H58" s="17" t="n">
        <x:f>G58*F58</x:f>
        <x:v>137363.09399999998</x:v>
      </x:c>
      <x:c r="I58" s="22" t="str">
        <x:f>HYPERLINK("https://etp-aktiv.ru/catalog/materialy/truboprovody/2000557775-U112/","Открыть позицию")</x:f>
        <x:v>Открыть позицию</x:v>
      </x:c>
    </x:row>
    <x:row r="59" ht="28" customHeight="1">
      <x:c r="A59" s="16" t="str">
        <x:v>Беловская ГРЭС</x:v>
      </x:c>
      <x:c r="B59" s="16" t="str">
        <x:v>2000894065-U112</x:v>
      </x:c>
      <x:c r="C59" s="16" t="str">
        <x:v>ОТВОД 90 284*34 10СТО ЦКТИ321.04.09</x:v>
      </x:c>
      <x:c r="D59" s="16" t="str">
        <x:v>Трубопроводы и элементы трубопроводов высокого давления</x:v>
      </x:c>
      <x:c r="E59" s="16" t="str">
        <x:v>ШТ</x:v>
      </x:c>
      <x:c r="F59" s="21" t="n">
        <x:v>2</x:v>
      </x:c>
      <x:c r="G59" s="17" t="n">
        <x:v>178425</x:v>
      </x:c>
      <x:c r="H59" s="17" t="n">
        <x:f>G59*F59</x:f>
        <x:v>356850</x:v>
      </x:c>
      <x:c r="I59" s="22" t="str">
        <x:f>HYPERLINK("https://etp-aktiv.ru/catalog/materialy/truboprovody/2000894065-U112/","Открыть позицию")</x:f>
        <x:v>Открыть позицию</x:v>
      </x:c>
    </x:row>
    <x:row r="60" ht="28" customHeight="1">
      <x:c r="A60" s="16" t="str">
        <x:v>Беловская ГРЭС</x:v>
      </x:c>
      <x:c r="B60" s="16" t="str">
        <x:v>2000228801-U112</x:v>
      </x:c>
      <x:c r="C60" s="16" t="str">
        <x:v>ОТВОД 90° 09Г2С 273*8 ГОСТ17375-01</x:v>
      </x:c>
      <x:c r="D60" s="16" t="str">
        <x:v>Детали фасонные</x:v>
      </x:c>
      <x:c r="E60" s="16" t="str">
        <x:v>ШТ</x:v>
      </x:c>
      <x:c r="F60" s="21" t="n">
        <x:v>16</x:v>
      </x:c>
      <x:c r="G60" s="17" t="n">
        <x:v>6320.3686</x:v>
      </x:c>
      <x:c r="H60" s="17" t="n">
        <x:f>G60*F60</x:f>
        <x:v>101125.8976</x:v>
      </x:c>
      <x:c r="I60" s="22" t="str">
        <x:f>HYPERLINK("https://etp-aktiv.ru/catalog/materialy/truboprovody/2000228801-U112/","Открыть позицию")</x:f>
        <x:v>Открыть позицию</x:v>
      </x:c>
    </x:row>
    <x:row r="61" ht="28" customHeight="1">
      <x:c r="A61" s="16" t="str">
        <x:v>Беловская ГРЭС</x:v>
      </x:c>
      <x:c r="B61" s="16" t="str">
        <x:v>2000554477-U112</x:v>
      </x:c>
      <x:c r="C61" s="16" t="str">
        <x:v>ОТВОД 90° 09Г2С 530*10 ГОСТ30753-01</x:v>
      </x:c>
      <x:c r="D61" s="16" t="str">
        <x:v>Детали фасонные</x:v>
      </x:c>
      <x:c r="E61" s="16" t="str">
        <x:v>ШТ</x:v>
      </x:c>
      <x:c r="F61" s="21" t="n">
        <x:v>4</x:v>
      </x:c>
      <x:c r="G61" s="17" t="n">
        <x:v>21465.899999999998</x:v>
      </x:c>
      <x:c r="H61" s="17" t="n">
        <x:f>G61*F61</x:f>
        <x:v>85863.59999999999</x:v>
      </x:c>
      <x:c r="I61" s="22" t="str">
        <x:f>HYPERLINK("https://etp-aktiv.ru/catalog/materialy/truboprovody/2000554477-U112/","Открыть позицию")</x:f>
        <x:v>Открыть позицию</x:v>
      </x:c>
    </x:row>
    <x:row r="62" ht="28" customHeight="1">
      <x:c r="A62" s="16" t="str">
        <x:v>Беловская ГРЭС</x:v>
      </x:c>
      <x:c r="B62" s="16" t="str">
        <x:v>2000262489-U112</x:v>
      </x:c>
      <x:c r="C62" s="16" t="str">
        <x:v>ОТВОД 90° 09Г2С DN325 8 PN25 ТС-582-32</x:v>
      </x:c>
      <x:c r="D62" s="16" t="str">
        <x:v>Детали фасонные</x:v>
      </x:c>
      <x:c r="E62" s="16" t="str">
        <x:v>ШТ</x:v>
      </x:c>
      <x:c r="F62" s="21" t="n">
        <x:v>8</x:v>
      </x:c>
      <x:c r="G62" s="17" t="n">
        <x:v>9145.425</x:v>
      </x:c>
      <x:c r="H62" s="17" t="n">
        <x:f>G62*F62</x:f>
        <x:v>73163.4</x:v>
      </x:c>
      <x:c r="I62" s="22" t="str">
        <x:f>HYPERLINK("https://etp-aktiv.ru/catalog/materialy/truboprovody/2000262489-U112/","Открыть позицию")</x:f>
        <x:v>Открыть позицию</x:v>
      </x:c>
    </x:row>
    <x:row r="63" ht="28" customHeight="1">
      <x:c r="A63" s="16" t="str">
        <x:v>Беловская ГРЭС</x:v>
      </x:c>
      <x:c r="B63" s="16" t="str">
        <x:v>2000554448-U112</x:v>
      </x:c>
      <x:c r="C63" s="16" t="str">
        <x:v>ОТВОД 90° 09Г2С DN325*8 ГОСТ17375-01</x:v>
      </x:c>
      <x:c r="D63" s="16" t="str">
        <x:v>Детали фасонные</x:v>
      </x:c>
      <x:c r="E63" s="16" t="str">
        <x:v>ШТ</x:v>
      </x:c>
      <x:c r="F63" s="21" t="n">
        <x:v>1</x:v>
      </x:c>
      <x:c r="G63" s="17" t="n">
        <x:v>5793.474999999999</x:v>
      </x:c>
      <x:c r="H63" s="17" t="n">
        <x:f>G63*F63</x:f>
        <x:v>5793.474999999999</x:v>
      </x:c>
      <x:c r="I63" s="22" t="str">
        <x:f>HYPERLINK("https://etp-aktiv.ru/catalog/materialy/truboprovody/2000554448-U112/","Открыть позицию")</x:f>
        <x:v>Открыть позицию</x:v>
      </x:c>
    </x:row>
    <x:row r="64" ht="28" customHeight="1">
      <x:c r="A64" s="16" t="str">
        <x:v>Беловская ГРЭС</x:v>
      </x:c>
      <x:c r="B64" s="16" t="str">
        <x:v>2000746416-U112</x:v>
      </x:c>
      <x:c r="C64" s="16" t="str">
        <x:v>ОТВОД 90° 09Г2С DN426 10 ГОСТ30753-01</x:v>
      </x:c>
      <x:c r="D64" s="16" t="str">
        <x:v>Детали фасонные</x:v>
      </x:c>
      <x:c r="E64" s="16" t="str">
        <x:v>ШТ</x:v>
      </x:c>
      <x:c r="F64" s="21" t="n">
        <x:v>9</x:v>
      </x:c>
      <x:c r="G64" s="17" t="n">
        <x:v>14470.725</x:v>
      </x:c>
      <x:c r="H64" s="17" t="n">
        <x:f>G64*F64</x:f>
        <x:v>130236.52500000001</x:v>
      </x:c>
      <x:c r="I64" s="22" t="str">
        <x:f>HYPERLINK("https://etp-aktiv.ru/catalog/materialy/truboprovody/2000746416-U112/","Открыть позицию")</x:f>
        <x:v>Открыть позицию</x:v>
      </x:c>
    </x:row>
    <x:row r="65" ht="28" customHeight="1">
      <x:c r="A65" s="16" t="str">
        <x:v>Беловская ГРЭС</x:v>
      </x:c>
      <x:c r="B65" s="16" t="str">
        <x:v>2000554488-U112</x:v>
      </x:c>
      <x:c r="C65" s="16" t="str">
        <x:v>ОТВОД 90° 09Г2С DN530*9 ГОСТ30753-01</x:v>
      </x:c>
      <x:c r="D65" s="16" t="str">
        <x:v>Детали фасонные</x:v>
      </x:c>
      <x:c r="E65" s="16" t="str">
        <x:v>ШТ</x:v>
      </x:c>
      <x:c r="F65" s="21" t="n">
        <x:v>7</x:v>
      </x:c>
      <x:c r="G65" s="17" t="n">
        <x:v>19520</x:v>
      </x:c>
      <x:c r="H65" s="17" t="n">
        <x:f>G65*F65</x:f>
        <x:v>136640</x:v>
      </x:c>
      <x:c r="I65" s="22" t="str">
        <x:f>HYPERLINK("https://etp-aktiv.ru/catalog/materialy/truboprovody/2000554488-U112/","Открыть позицию")</x:f>
        <x:v>Открыть позицию</x:v>
      </x:c>
    </x:row>
    <x:row r="66" ht="28" customHeight="1">
      <x:c r="A66" s="16" t="str">
        <x:v>Беловская ГРЭС</x:v>
      </x:c>
      <x:c r="B66" s="16" t="str">
        <x:v>2000750024-U112</x:v>
      </x:c>
      <x:c r="C66" s="16" t="str">
        <x:v>ОТВОД 90° 12Х18Н10Т DN219 8 ГОСТ17375</x:v>
      </x:c>
      <x:c r="D66" s="16" t="str">
        <x:v>Детали фасонные</x:v>
      </x:c>
      <x:c r="E66" s="16" t="str">
        <x:v>ШТ</x:v>
      </x:c>
      <x:c r="F66" s="21" t="n">
        <x:v>4</x:v>
      </x:c>
      <x:c r="G66" s="17" t="n">
        <x:v>21040.425</x:v>
      </x:c>
      <x:c r="H66" s="17" t="n">
        <x:f>G66*F66</x:f>
        <x:v>84161.7</x:v>
      </x:c>
      <x:c r="I66" s="22" t="str">
        <x:f>HYPERLINK("https://etp-aktiv.ru/catalog/materialy/truboprovody/2000750024-U112/","Открыть позицию")</x:f>
        <x:v>Открыть позицию</x:v>
      </x:c>
    </x:row>
    <x:row r="67" ht="28" customHeight="1">
      <x:c r="A67" s="16" t="str">
        <x:v>Беловская ГРЭС</x:v>
      </x:c>
      <x:c r="B67" s="16" t="str">
        <x:v>2000766806-U112</x:v>
      </x:c>
      <x:c r="C67" s="16" t="str">
        <x:v>ОТВОД 90° 17Г1С DN133*5 ГОСТ30753-01</x:v>
      </x:c>
      <x:c r="D67" s="16" t="str">
        <x:v>Детали фасонные</x:v>
      </x:c>
      <x:c r="E67" s="16" t="str">
        <x:v>ШТ</x:v>
      </x:c>
      <x:c r="F67" s="21" t="n">
        <x:v>16</x:v>
      </x:c>
      <x:c r="G67" s="17" t="n">
        <x:v>239.2176</x:v>
      </x:c>
      <x:c r="H67" s="17" t="n">
        <x:f>G67*F67</x:f>
        <x:v>3827.4816</x:v>
      </x:c>
      <x:c r="I67" s="22" t="str">
        <x:f>HYPERLINK("https://etp-aktiv.ru/catalog/materialy/truboprovody/2000766806-U112/","Открыть позицию")</x:f>
        <x:v>Открыть позицию</x:v>
      </x:c>
    </x:row>
    <x:row r="68" ht="28" customHeight="1">
      <x:c r="A68" s="16" t="str">
        <x:v>Беловская ГРЭС</x:v>
      </x:c>
      <x:c r="B68" s="16" t="str">
        <x:v>2000744177-U112</x:v>
      </x:c>
      <x:c r="C68" s="16" t="str">
        <x:v>ОТВОД 90° 17Г1С DN377 10 ГОСТ30753-01</x:v>
      </x:c>
      <x:c r="D68" s="16" t="str">
        <x:v>Детали фасонные</x:v>
      </x:c>
      <x:c r="E68" s="16" t="str">
        <x:v>ШТ</x:v>
      </x:c>
      <x:c r="F68" s="21" t="n">
        <x:v>4</x:v>
      </x:c>
      <x:c r="G68" s="17" t="n">
        <x:v>15250</x:v>
      </x:c>
      <x:c r="H68" s="17" t="n">
        <x:f>G68*F68</x:f>
        <x:v>61000</x:v>
      </x:c>
      <x:c r="I68" s="22" t="str">
        <x:f>HYPERLINK("https://etp-aktiv.ru/catalog/materialy/truboprovody/2000744177-U112/","Открыть позицию")</x:f>
        <x:v>Открыть позицию</x:v>
      </x:c>
    </x:row>
    <x:row r="69" ht="28" customHeight="1">
      <x:c r="A69" s="16" t="str">
        <x:v>Беловская ГРЭС</x:v>
      </x:c>
      <x:c r="B69" s="16" t="str">
        <x:v>2000888980-U112</x:v>
      </x:c>
      <x:c r="C69" s="16" t="str">
        <x:v>ОТВОД 90° 377*42 15ГС 12 СТО ЦКТИ321.04</x:v>
      </x:c>
      <x:c r="D69" s="16" t="str">
        <x:v>Трубопроводы и элементы трубопроводов высокого давления</x:v>
      </x:c>
      <x:c r="E69" s="16" t="str">
        <x:v>ШТ</x:v>
      </x:c>
      <x:c r="F69" s="21" t="n">
        <x:v>1</x:v>
      </x:c>
      <x:c r="G69" s="17" t="n">
        <x:v>279985.3396</x:v>
      </x:c>
      <x:c r="H69" s="17" t="n">
        <x:f>G69*F69</x:f>
        <x:v>279985.3396</x:v>
      </x:c>
      <x:c r="I69" s="22" t="str">
        <x:f>HYPERLINK("https://etp-aktiv.ru/catalog/materialy/truboprovody/2000888980-U112/","Открыть позицию")</x:f>
        <x:v>Открыть позицию</x:v>
      </x:c>
    </x:row>
    <x:row r="70" ht="28" customHeight="1">
      <x:c r="A70" s="16" t="str">
        <x:v>Беловская ГРЭС</x:v>
      </x:c>
      <x:c r="B70" s="16" t="str">
        <x:v>2000140260-U112</x:v>
      </x:c>
      <x:c r="C70" s="16" t="str">
        <x:v>ОТВОД 90° СТ20 57*4 ГОСТ17375-01</x:v>
      </x:c>
      <x:c r="D70" s="16" t="str">
        <x:v>Детали фасонные</x:v>
      </x:c>
      <x:c r="E70" s="16" t="str">
        <x:v>ШТ</x:v>
      </x:c>
      <x:c r="F70" s="21" t="n">
        <x:v>13</x:v>
      </x:c>
      <x:c r="G70" s="17" t="n">
        <x:v>141.5566</x:v>
      </x:c>
      <x:c r="H70" s="17" t="n">
        <x:f>G70*F70</x:f>
        <x:v>1840.2358</x:v>
      </x:c>
      <x:c r="I70" s="22" t="str">
        <x:f>HYPERLINK("https://etp-aktiv.ru/catalog/materialy/truboprovody/2000140260-U112/","Открыть позицию")</x:f>
        <x:v>Открыть позицию</x:v>
      </x:c>
    </x:row>
    <x:row r="71" ht="28" customHeight="1">
      <x:c r="A71" s="16" t="str">
        <x:v>Беловская ГРЭС</x:v>
      </x:c>
      <x:c r="B71" s="16" t="str">
        <x:v>2000007081-U112</x:v>
      </x:c>
      <x:c r="C71" s="16" t="str">
        <x:v>ОТВОД 90° СТ20 DN133 5 ГОСТ17375-01</x:v>
      </x:c>
      <x:c r="D71" s="16" t="str">
        <x:v>Детали фасонные</x:v>
      </x:c>
      <x:c r="E71" s="16" t="str">
        <x:v>ШТ</x:v>
      </x:c>
      <x:c r="F71" s="21" t="n">
        <x:v>1</x:v>
      </x:c>
      <x:c r="G71" s="17" t="n">
        <x:v>1073.5878</x:v>
      </x:c>
      <x:c r="H71" s="17" t="n">
        <x:f>G71*F71</x:f>
        <x:v>1073.5878</x:v>
      </x:c>
      <x:c r="I71" s="22" t="str">
        <x:f>HYPERLINK("https://etp-aktiv.ru/catalog/materialy/truboprovody/2000007081-U112/","Открыть позицию")</x:f>
        <x:v>Открыть позицию</x:v>
      </x:c>
    </x:row>
    <x:row r="72" ht="28" customHeight="1">
      <x:c r="A72" s="16" t="str">
        <x:v>Беловская ГРЭС</x:v>
      </x:c>
      <x:c r="B72" s="16" t="str">
        <x:v>2000244274-U112</x:v>
      </x:c>
      <x:c r="C72" s="16" t="str">
        <x:v>ОТВОД 90° СТ20 DN40 ГОСТ17375-01</x:v>
      </x:c>
      <x:c r="D72" s="16" t="str">
        <x:v>Детали фасонные</x:v>
      </x:c>
      <x:c r="E72" s="16" t="str">
        <x:v>ШТ</x:v>
      </x:c>
      <x:c r="F72" s="21" t="n">
        <x:v>4</x:v>
      </x:c>
      <x:c r="G72" s="17" t="n">
        <x:v>269.925</x:v>
      </x:c>
      <x:c r="H72" s="17" t="n">
        <x:f>G72*F72</x:f>
        <x:v>1079.7</x:v>
      </x:c>
      <x:c r="I72" s="22" t="str">
        <x:f>HYPERLINK("https://etp-aktiv.ru/catalog/materialy/truboprovody/2000244274-U112/","Открыть позицию")</x:f>
        <x:v>Открыть позицию</x:v>
      </x:c>
    </x:row>
    <x:row r="73" ht="28" customHeight="1">
      <x:c r="A73" s="16" t="str">
        <x:v>Беловская ГРЭС</x:v>
      </x:c>
      <x:c r="B73" s="16" t="str">
        <x:v>2000771279-U112</x:v>
      </x:c>
      <x:c r="C73" s="16" t="str">
        <x:v>ПЕРЕХОД 09Г2С 25*15 04 ОСТ34-10-754-97</x:v>
      </x:c>
      <x:c r="D73" s="16" t="str">
        <x:v>Детали фасонные</x:v>
      </x:c>
      <x:c r="E73" s="16" t="str">
        <x:v>ШТ</x:v>
      </x:c>
      <x:c r="F73" s="21" t="n">
        <x:v>3</x:v>
      </x:c>
      <x:c r="G73" s="17" t="n">
        <x:v>754.875</x:v>
      </x:c>
      <x:c r="H73" s="17" t="n">
        <x:f>G73*F73</x:f>
        <x:v>2264.625</x:v>
      </x:c>
      <x:c r="I73" s="22" t="str">
        <x:f>HYPERLINK("https://etp-aktiv.ru/catalog/materialy/truboprovody/2000771279-U112/","Открыть позицию")</x:f>
        <x:v>Открыть позицию</x:v>
      </x:c>
    </x:row>
    <x:row r="74" ht="28" customHeight="1">
      <x:c r="A74" s="16" t="str">
        <x:v>Беловская ГРЭС</x:v>
      </x:c>
      <x:c r="B74" s="16" t="str">
        <x:v>2000759696-U112</x:v>
      </x:c>
      <x:c r="C74" s="16" t="str">
        <x:v>ПЕРЕХОД 09Г2С 630*8 26 ОСТ34-10-753-97</x:v>
      </x:c>
      <x:c r="D74" s="16" t="str">
        <x:v>Детали фасонные</x:v>
      </x:c>
      <x:c r="E74" s="16" t="str">
        <x:v>ШТ</x:v>
      </x:c>
      <x:c r="F74" s="21" t="n">
        <x:v>2</x:v>
      </x:c>
      <x:c r="G74" s="17" t="n">
        <x:v>10664.324999999999</x:v>
      </x:c>
      <x:c r="H74" s="17" t="n">
        <x:f>G74*F74</x:f>
        <x:v>21328.649999999998</x:v>
      </x:c>
      <x:c r="I74" s="22" t="str">
        <x:f>HYPERLINK("https://etp-aktiv.ru/catalog/materialy/truboprovody/2000759696-U112/","Открыть позицию")</x:f>
        <x:v>Открыть позицию</x:v>
      </x:c>
    </x:row>
    <x:row r="75" ht="28" customHeight="1">
      <x:c r="A75" s="16" t="str">
        <x:v>Беловская ГРЭС</x:v>
      </x:c>
      <x:c r="B75" s="16" t="str">
        <x:v>2000759703-U112</x:v>
      </x:c>
      <x:c r="C75" s="16" t="str">
        <x:v>ПЕРЕХОД 17Г1С 1220*11 41 ОСТ34-10-753-97</x:v>
      </x:c>
      <x:c r="D75" s="16" t="str">
        <x:v>Детали фасонные</x:v>
      </x:c>
      <x:c r="E75" s="16" t="str">
        <x:v>ШТ</x:v>
      </x:c>
      <x:c r="F75" s="21" t="n">
        <x:v>1</x:v>
      </x:c>
      <x:c r="G75" s="17" t="n">
        <x:v>68615.84999999999</x:v>
      </x:c>
      <x:c r="H75" s="17" t="n">
        <x:f>G75*F75</x:f>
        <x:v>68615.84999999999</x:v>
      </x:c>
      <x:c r="I75" s="22" t="str">
        <x:f>HYPERLINK("https://etp-aktiv.ru/catalog/materialy/truboprovody/2000759703-U112/","Открыть позицию")</x:f>
        <x:v>Открыть позицию</x:v>
      </x:c>
    </x:row>
    <x:row r="76" ht="28" customHeight="1">
      <x:c r="A76" s="16" t="str">
        <x:v>Беловская ГРЭС</x:v>
      </x:c>
      <x:c r="B76" s="16" t="str">
        <x:v>2000334401-U112</x:v>
      </x:c>
      <x:c r="C76" s="16" t="str">
        <x:v>ПЕРЕХОД К 09Г2С 159*4,5 108 4 ГОСТ17378-</x:v>
      </x:c>
      <x:c r="D76" s="16" t="str">
        <x:v>Детали фасонные</x:v>
      </x:c>
      <x:c r="E76" s="16" t="str">
        <x:v>ШТ</x:v>
      </x:c>
      <x:c r="F76" s="21" t="n">
        <x:v>1</x:v>
      </x:c>
      <x:c r="G76" s="17" t="n">
        <x:v>841.8</x:v>
      </x:c>
      <x:c r="H76" s="17" t="n">
        <x:f>G76*F76</x:f>
        <x:v>841.8</x:v>
      </x:c>
      <x:c r="I76" s="22" t="str">
        <x:f>HYPERLINK("https://etp-aktiv.ru/catalog/materialy/truboprovody/2000334401-U112/","Открыть позицию")</x:f>
        <x:v>Открыть позицию</x:v>
      </x:c>
    </x:row>
    <x:row r="77" ht="28" customHeight="1">
      <x:c r="A77" s="16" t="str">
        <x:v>Беловская ГРЭС</x:v>
      </x:c>
      <x:c r="B77" s="16" t="str">
        <x:v>2000384385-U112</x:v>
      </x:c>
      <x:c r="C77" s="16" t="str">
        <x:v>ПЕРЕХОД К 09Г2С 159*4,5 89 3,5 ГОСТ17378</x:v>
      </x:c>
      <x:c r="D77" s="16" t="str">
        <x:v>Детали фасонные</x:v>
      </x:c>
      <x:c r="E77" s="16" t="str">
        <x:v>ШТ</x:v>
      </x:c>
      <x:c r="F77" s="21" t="n">
        <x:v>2</x:v>
      </x:c>
      <x:c r="G77" s="17" t="n">
        <x:v>587.43</x:v>
      </x:c>
      <x:c r="H77" s="17" t="n">
        <x:f>G77*F77</x:f>
        <x:v>1174.86</x:v>
      </x:c>
      <x:c r="I77" s="22" t="str">
        <x:f>HYPERLINK("https://etp-aktiv.ru/catalog/materialy/truboprovody/2000384385-U112/","Открыть позицию")</x:f>
        <x:v>Открыть позицию</x:v>
      </x:c>
    </x:row>
    <x:row r="78" ht="28" customHeight="1">
      <x:c r="A78" s="16" t="str">
        <x:v>Беловская ГРЭС</x:v>
      </x:c>
      <x:c r="B78" s="16" t="str">
        <x:v>2000750254-U112</x:v>
      </x:c>
      <x:c r="C78" s="16" t="str">
        <x:v>ПЕРЕХОД К 09Г2С 159*4,5-76*3,5 ГОСТ17378</x:v>
      </x:c>
      <x:c r="D78" s="16" t="str">
        <x:v>Детали фасонные</x:v>
      </x:c>
      <x:c r="E78" s="16" t="str">
        <x:v>ШТ</x:v>
      </x:c>
      <x:c r="F78" s="21" t="n">
        <x:v>5</x:v>
      </x:c>
      <x:c r="G78" s="17" t="n">
        <x:v>448.34999999999997</x:v>
      </x:c>
      <x:c r="H78" s="17" t="n">
        <x:f>G78*F78</x:f>
        <x:v>2241.75</x:v>
      </x:c>
      <x:c r="I78" s="22" t="str">
        <x:f>HYPERLINK("https://etp-aktiv.ru/catalog/materialy/truboprovody/2000750254-U112/","Открыть позицию")</x:f>
        <x:v>Открыть позицию</x:v>
      </x:c>
    </x:row>
    <x:row r="79" ht="28" customHeight="1">
      <x:c r="A79" s="16" t="str">
        <x:v>Беловская ГРЭС</x:v>
      </x:c>
      <x:c r="B79" s="16" t="str">
        <x:v>2000750255-U112</x:v>
      </x:c>
      <x:c r="C79" s="16" t="str">
        <x:v>ПЕРЕХОД К 09Г2С 159*4-108*6 ГОСТ17378-01</x:v>
      </x:c>
      <x:c r="D79" s="16" t="str">
        <x:v>Детали фасонные</x:v>
      </x:c>
      <x:c r="E79" s="16" t="str">
        <x:v>ШТ</x:v>
      </x:c>
      <x:c r="F79" s="21" t="n">
        <x:v>2</x:v>
      </x:c>
      <x:c r="G79" s="17" t="n">
        <x:v>475.8</x:v>
      </x:c>
      <x:c r="H79" s="17" t="n">
        <x:f>G79*F79</x:f>
        <x:v>951.6</x:v>
      </x:c>
      <x:c r="I79" s="22" t="str">
        <x:f>HYPERLINK("https://etp-aktiv.ru/catalog/materialy/truboprovody/2000750255-U112/","Открыть позицию")</x:f>
        <x:v>Открыть позицию</x:v>
      </x:c>
    </x:row>
    <x:row r="80" ht="28" customHeight="1">
      <x:c r="A80" s="16" t="str">
        <x:v>Беловская ГРЭС</x:v>
      </x:c>
      <x:c r="B80" s="16" t="str">
        <x:v>2000750256-U112</x:v>
      </x:c>
      <x:c r="C80" s="16" t="str">
        <x:v>ПЕРЕХОД К 09Г2С 219*10-159*8 ГОСТ17378</x:v>
      </x:c>
      <x:c r="D80" s="16" t="str">
        <x:v>Детали фасонные</x:v>
      </x:c>
      <x:c r="E80" s="16" t="str">
        <x:v>ШТ</x:v>
      </x:c>
      <x:c r="F80" s="21" t="n">
        <x:v>2</x:v>
      </x:c>
      <x:c r="G80" s="17" t="n">
        <x:v>1541.2869999999998</x:v>
      </x:c>
      <x:c r="H80" s="17" t="n">
        <x:f>G80*F80</x:f>
        <x:v>3082.5739999999996</x:v>
      </x:c>
      <x:c r="I80" s="22" t="str">
        <x:f>HYPERLINK("https://etp-aktiv.ru/catalog/materialy/truboprovody/2000750256-U112/","Открыть позицию")</x:f>
        <x:v>Открыть позицию</x:v>
      </x:c>
    </x:row>
    <x:row r="81" ht="28" customHeight="1">
      <x:c r="A81" s="16" t="str">
        <x:v>Беловская ГРЭС</x:v>
      </x:c>
      <x:c r="B81" s="16" t="str">
        <x:v>2000582232-U112</x:v>
      </x:c>
      <x:c r="C81" s="16" t="str">
        <x:v>ПЕРЕХОД К 09Г2С 219*6-133*4 ГОСТ17378</x:v>
      </x:c>
      <x:c r="D81" s="16" t="str">
        <x:v>Детали фасонные</x:v>
      </x:c>
      <x:c r="E81" s="16" t="str">
        <x:v>ШТ</x:v>
      </x:c>
      <x:c r="F81" s="21" t="n">
        <x:v>1</x:v>
      </x:c>
      <x:c r="G81" s="17" t="n">
        <x:v>754.875</x:v>
      </x:c>
      <x:c r="H81" s="17" t="n">
        <x:f>G81*F81</x:f>
        <x:v>754.875</x:v>
      </x:c>
      <x:c r="I81" s="22" t="str">
        <x:f>HYPERLINK("https://etp-aktiv.ru/catalog/materialy/truboprovody/2000582232-U112/","Открыть позицию")</x:f>
        <x:v>Открыть позицию</x:v>
      </x:c>
    </x:row>
    <x:row r="82" ht="28" customHeight="1">
      <x:c r="A82" s="16" t="str">
        <x:v>Беловская ГРЭС</x:v>
      </x:c>
      <x:c r="B82" s="16" t="str">
        <x:v>2000750291-U112</x:v>
      </x:c>
      <x:c r="C82" s="16" t="str">
        <x:v>ПЕРЕХОД К 09Г2С 325*10-273*10 ГОСТ17378</x:v>
      </x:c>
      <x:c r="D82" s="16" t="str">
        <x:v>Детали фасонные</x:v>
      </x:c>
      <x:c r="E82" s="16" t="str">
        <x:v>ШТ</x:v>
      </x:c>
      <x:c r="F82" s="21" t="n">
        <x:v>1</x:v>
      </x:c>
      <x:c r="G82" s="17" t="n">
        <x:v>3550.0048</x:v>
      </x:c>
      <x:c r="H82" s="17" t="n">
        <x:f>G82*F82</x:f>
        <x:v>3550.0048</x:v>
      </x:c>
      <x:c r="I82" s="22" t="str">
        <x:f>HYPERLINK("https://etp-aktiv.ru/catalog/materialy/truboprovody/2000750291-U112/","Открыть позицию")</x:f>
        <x:v>Открыть позицию</x:v>
      </x:c>
    </x:row>
    <x:row r="83" ht="28" customHeight="1">
      <x:c r="A83" s="16" t="str">
        <x:v>Беловская ГРЭС</x:v>
      </x:c>
      <x:c r="B83" s="16" t="str">
        <x:v>2000750259-U112</x:v>
      </x:c>
      <x:c r="C83" s="16" t="str">
        <x:v>ПЕРЕХОД К 09Г2С 325*8-108*4 ГОСТ17378-01</x:v>
      </x:c>
      <x:c r="D83" s="16" t="str">
        <x:v>Детали фасонные</x:v>
      </x:c>
      <x:c r="E83" s="16" t="str">
        <x:v>ШТ</x:v>
      </x:c>
      <x:c r="F83" s="21" t="n">
        <x:v>1</x:v>
      </x:c>
      <x:c r="G83" s="17" t="n">
        <x:v>2350.0006</x:v>
      </x:c>
      <x:c r="H83" s="17" t="n">
        <x:f>G83*F83</x:f>
        <x:v>2350.0006</x:v>
      </x:c>
      <x:c r="I83" s="22" t="str">
        <x:f>HYPERLINK("https://etp-aktiv.ru/catalog/materialy/truboprovody/2000750259-U112/","Открыть позицию")</x:f>
        <x:v>Открыть позицию</x:v>
      </x:c>
    </x:row>
    <x:row r="84" ht="28" customHeight="1">
      <x:c r="A84" s="16" t="str">
        <x:v>Беловская ГРЭС</x:v>
      </x:c>
      <x:c r="B84" s="16" t="str">
        <x:v>2000750290-U112</x:v>
      </x:c>
      <x:c r="C84" s="16" t="str">
        <x:v>ПЕРЕХОД К 09Г2С 325*8-159*4,5 ГОСТ17378</x:v>
      </x:c>
      <x:c r="D84" s="16" t="str">
        <x:v>Детали фасонные</x:v>
      </x:c>
      <x:c r="E84" s="16" t="str">
        <x:v>ШТ</x:v>
      </x:c>
      <x:c r="F84" s="21" t="n">
        <x:v>2</x:v>
      </x:c>
      <x:c r="G84" s="17" t="n">
        <x:v>3550.0048</x:v>
      </x:c>
      <x:c r="H84" s="17" t="n">
        <x:f>G84*F84</x:f>
        <x:v>7100.0096</x:v>
      </x:c>
      <x:c r="I84" s="22" t="str">
        <x:f>HYPERLINK("https://etp-aktiv.ru/catalog/materialy/truboprovody/2000750290-U112/","Открыть позицию")</x:f>
        <x:v>Открыть позицию</x:v>
      </x:c>
    </x:row>
    <x:row r="85" ht="28" customHeight="1">
      <x:c r="A85" s="16" t="str">
        <x:v>Беловская ГРЭС</x:v>
      </x:c>
      <x:c r="B85" s="16" t="str">
        <x:v>2000554963-U112</x:v>
      </x:c>
      <x:c r="C85" s="16" t="str">
        <x:v>ПЕРЕХОД К 09Г2С 325*8-273*7 ГОСТ17378-01</x:v>
      </x:c>
      <x:c r="D85" s="16" t="str">
        <x:v>Детали фасонные</x:v>
      </x:c>
      <x:c r="E85" s="16" t="str">
        <x:v>ШТ</x:v>
      </x:c>
      <x:c r="F85" s="21" t="n">
        <x:v>1</x:v>
      </x:c>
      <x:c r="G85" s="17" t="n">
        <x:v>2385.2464</x:v>
      </x:c>
      <x:c r="H85" s="17" t="n">
        <x:f>G85*F85</x:f>
        <x:v>2385.2464</x:v>
      </x:c>
      <x:c r="I85" s="22" t="str">
        <x:f>HYPERLINK("https://etp-aktiv.ru/catalog/materialy/truboprovody/2000554963-U112/","Открыть позицию")</x:f>
        <x:v>Открыть позицию</x:v>
      </x:c>
    </x:row>
    <x:row r="86" ht="28" customHeight="1">
      <x:c r="A86" s="16" t="str">
        <x:v>Беловская ГРЭС</x:v>
      </x:c>
      <x:c r="B86" s="16" t="str">
        <x:v>2000554969-U112</x:v>
      </x:c>
      <x:c r="C86" s="16" t="str">
        <x:v>ПЕРЕХОД К 09Г2С 377*10-325*8 ГОСТ17378</x:v>
      </x:c>
      <x:c r="D86" s="16" t="str">
        <x:v>Детали фасонные</x:v>
      </x:c>
      <x:c r="E86" s="16" t="str">
        <x:v>ШТ</x:v>
      </x:c>
      <x:c r="F86" s="21" t="n">
        <x:v>1</x:v>
      </x:c>
      <x:c r="G86" s="17" t="n">
        <x:v>3660</x:v>
      </x:c>
      <x:c r="H86" s="17" t="n">
        <x:f>G86*F86</x:f>
        <x:v>3660</x:v>
      </x:c>
      <x:c r="I86" s="22" t="str">
        <x:f>HYPERLINK("https://etp-aktiv.ru/catalog/materialy/truboprovody/2000554969-U112/","Открыть позицию")</x:f>
        <x:v>Открыть позицию</x:v>
      </x:c>
    </x:row>
    <x:row r="87" ht="28" customHeight="1">
      <x:c r="A87" s="16" t="str">
        <x:v>Беловская ГРЭС</x:v>
      </x:c>
      <x:c r="B87" s="16" t="str">
        <x:v>2000750292-U112</x:v>
      </x:c>
      <x:c r="C87" s="16" t="str">
        <x:v>ПЕРЕХОД К 09Г2С 377*12-273*10 ГОСТ17378</x:v>
      </x:c>
      <x:c r="D87" s="16" t="str">
        <x:v>Детали фасонные</x:v>
      </x:c>
      <x:c r="E87" s="16" t="str">
        <x:v>ШТ</x:v>
      </x:c>
      <x:c r="F87" s="21" t="n">
        <x:v>1</x:v>
      </x:c>
      <x:c r="G87" s="17" t="n">
        <x:v>4392</x:v>
      </x:c>
      <x:c r="H87" s="17" t="n">
        <x:f>G87*F87</x:f>
        <x:v>4392</x:v>
      </x:c>
      <x:c r="I87" s="22" t="str">
        <x:f>HYPERLINK("https://etp-aktiv.ru/catalog/materialy/truboprovody/2000750292-U112/","Открыть позицию")</x:f>
        <x:v>Открыть позицию</x:v>
      </x:c>
    </x:row>
    <x:row r="88" ht="28" customHeight="1">
      <x:c r="A88" s="16" t="str">
        <x:v>Беловская ГРЭС</x:v>
      </x:c>
      <x:c r="B88" s="16" t="str">
        <x:v>2000554978-U112</x:v>
      </x:c>
      <x:c r="C88" s="16" t="str">
        <x:v>ПЕРЕХОД К 09Г2С 426*10-377*10 ГОСТ17378</x:v>
      </x:c>
      <x:c r="D88" s="16" t="str">
        <x:v>Детали фасонные</x:v>
      </x:c>
      <x:c r="E88" s="16" t="str">
        <x:v>ШТ</x:v>
      </x:c>
      <x:c r="F88" s="21" t="n">
        <x:v>9</x:v>
      </x:c>
      <x:c r="G88" s="17" t="n">
        <x:v>5435.099999999999</x:v>
      </x:c>
      <x:c r="H88" s="17" t="n">
        <x:f>G88*F88</x:f>
        <x:v>48915.899999999994</x:v>
      </x:c>
      <x:c r="I88" s="22" t="str">
        <x:f>HYPERLINK("https://etp-aktiv.ru/catalog/materialy/truboprovody/2000554978-U112/","Открыть позицию")</x:f>
        <x:v>Открыть позицию</x:v>
      </x:c>
    </x:row>
    <x:row r="89" ht="28" customHeight="1">
      <x:c r="A89" s="16" t="str">
        <x:v>Беловская ГРЭС</x:v>
      </x:c>
      <x:c r="B89" s="16" t="str">
        <x:v>2000555049-U112</x:v>
      </x:c>
      <x:c r="C89" s="16" t="str">
        <x:v>ПЕРЕХОД К 17Г1С 920*10-820*9 ТС-585-48</x:v>
      </x:c>
      <x:c r="D89" s="16" t="str">
        <x:v>Детали фасонные</x:v>
      </x:c>
      <x:c r="E89" s="16" t="str">
        <x:v>ШТ</x:v>
      </x:c>
      <x:c r="F89" s="21" t="n">
        <x:v>6</x:v>
      </x:c>
      <x:c r="G89" s="17" t="n">
        <x:v>15239.324999999999</x:v>
      </x:c>
      <x:c r="H89" s="17" t="n">
        <x:f>G89*F89</x:f>
        <x:v>91435.95</x:v>
      </x:c>
      <x:c r="I89" s="22" t="str">
        <x:f>HYPERLINK("https://etp-aktiv.ru/catalog/materialy/truboprovody/2000555049-U112/","Открыть позицию")</x:f>
        <x:v>Открыть позицию</x:v>
      </x:c>
    </x:row>
    <x:row r="90" ht="28" customHeight="1">
      <x:c r="A90" s="16" t="str">
        <x:v>Беловская ГРЭС</x:v>
      </x:c>
      <x:c r="B90" s="16" t="str">
        <x:v>2000590922-U112</x:v>
      </x:c>
      <x:c r="C90" s="16" t="str">
        <x:v>ПЕРЕХОД К 76*6-38*4 СТ20 ГОСТ17378</x:v>
      </x:c>
      <x:c r="D90" s="16" t="str">
        <x:v>Детали фасонные</x:v>
      </x:c>
      <x:c r="E90" s="16" t="str">
        <x:v>ШТ</x:v>
      </x:c>
      <x:c r="F90" s="21" t="n">
        <x:v>2</x:v>
      </x:c>
      <x:c r="G90" s="17" t="n">
        <x:v>266.57</x:v>
      </x:c>
      <x:c r="H90" s="17" t="n">
        <x:f>G90*F90</x:f>
        <x:v>533.14</x:v>
      </x:c>
      <x:c r="I90" s="22" t="str">
        <x:f>HYPERLINK("https://etp-aktiv.ru/catalog/materialy/truboprovody/2000590922-U112/","Открыть позицию")</x:f>
        <x:v>Открыть позицию</x:v>
      </x:c>
    </x:row>
    <x:row r="91" ht="28" customHeight="1">
      <x:c r="A91" s="16" t="str">
        <x:v>Беловская ГРЭС</x:v>
      </x:c>
      <x:c r="B91" s="16" t="str">
        <x:v>2000787398-U112</x:v>
      </x:c>
      <x:c r="C91" s="16" t="str">
        <x:v>ПЕРЕХОД СТ20 32*2,5*25 09 ОСТ108.318.11</x:v>
      </x:c>
      <x:c r="D91" s="16" t="str">
        <x:v>Детали фасонные</x:v>
      </x:c>
      <x:c r="E91" s="16" t="str">
        <x:v>ШТ</x:v>
      </x:c>
      <x:c r="F91" s="21" t="n">
        <x:v>6</x:v>
      </x:c>
      <x:c r="G91" s="17" t="n">
        <x:v>9145.425</x:v>
      </x:c>
      <x:c r="H91" s="17" t="n">
        <x:f>G91*F91</x:f>
        <x:v>54872.549999999996</x:v>
      </x:c>
      <x:c r="I91" s="22" t="str">
        <x:f>HYPERLINK("https://etp-aktiv.ru/catalog/materialy/truboprovody/2000787398-U112/","Открыть позицию")</x:f>
        <x:v>Открыть позицию</x:v>
      </x:c>
    </x:row>
    <x:row r="92" ht="28" customHeight="1">
      <x:c r="A92" s="16" t="str">
        <x:v>Беловская ГРЭС</x:v>
      </x:c>
      <x:c r="B92" s="16" t="str">
        <x:v>2000742529-U112</x:v>
      </x:c>
      <x:c r="C92" s="16" t="str">
        <x:v>ПЛАВНИК С НАКЛАДКОЙ 273У-15 ОСТ34-10-734</x:v>
      </x:c>
      <x:c r="D92" s="16" t="str">
        <x:v>Система опорно-подвесная</x:v>
      </x:c>
      <x:c r="E92" s="16" t="str">
        <x:v>ШТ</x:v>
      </x:c>
      <x:c r="F92" s="21" t="n">
        <x:v>4</x:v>
      </x:c>
      <x:c r="G92" s="17" t="n">
        <x:v>1761.2652</x:v>
      </x:c>
      <x:c r="H92" s="17" t="n">
        <x:f>G92*F92</x:f>
        <x:v>7045.0608</x:v>
      </x:c>
      <x:c r="I92" s="22" t="str">
        <x:f>HYPERLINK("https://etp-aktiv.ru/catalog/materialy/truboprovody/2000742529-U112/","Открыть позицию")</x:f>
        <x:v>Открыть позицию</x:v>
      </x:c>
    </x:row>
    <x:row r="93" ht="28" customHeight="1">
      <x:c r="A93" s="16" t="str">
        <x:v>Беловская ГРЭС</x:v>
      </x:c>
      <x:c r="B93" s="16" t="str">
        <x:v>2000786462-U112</x:v>
      </x:c>
      <x:c r="C93" s="16" t="str">
        <x:v>ПОДВЕСКА 14 Л8-522.000</x:v>
      </x:c>
      <x:c r="D93" s="16" t="str">
        <x:v>Система опорно-подвесная</x:v>
      </x:c>
      <x:c r="E93" s="16" t="str">
        <x:v>ШТ</x:v>
      </x:c>
      <x:c r="F93" s="21" t="n">
        <x:v>12</x:v>
      </x:c>
      <x:c r="G93" s="17" t="n">
        <x:v>247.04999999999998</x:v>
      </x:c>
      <x:c r="H93" s="17" t="n">
        <x:f>G93*F93</x:f>
        <x:v>2964.6</x:v>
      </x:c>
      <x:c r="I93" s="22" t="str">
        <x:f>HYPERLINK("https://etp-aktiv.ru/catalog/materialy/truboprovody/2000786462-U112/","Открыть позицию")</x:f>
        <x:v>Открыть позицию</x:v>
      </x:c>
    </x:row>
    <x:row r="94" ht="28" customHeight="1">
      <x:c r="A94" s="16" t="str">
        <x:v>Беловская ГРЭС</x:v>
      </x:c>
      <x:c r="B94" s="16" t="str">
        <x:v>2000786529-U112</x:v>
      </x:c>
      <x:c r="C94" s="16" t="str">
        <x:v>ПОДВЕСКА 16 Л8-522.000</x:v>
      </x:c>
      <x:c r="D94" s="16" t="str">
        <x:v>Система опорно-подвесная</x:v>
      </x:c>
      <x:c r="E94" s="16" t="str">
        <x:v>ШТ</x:v>
      </x:c>
      <x:c r="F94" s="21" t="n">
        <x:v>12</x:v>
      </x:c>
      <x:c r="G94" s="17" t="n">
        <x:v>247.04999999999998</x:v>
      </x:c>
      <x:c r="H94" s="17" t="n">
        <x:f>G94*F94</x:f>
        <x:v>2964.6</x:v>
      </x:c>
      <x:c r="I94" s="22" t="str">
        <x:f>HYPERLINK("https://etp-aktiv.ru/catalog/materialy/truboprovody/2000786529-U112/","Открыть позицию")</x:f>
        <x:v>Открыть позицию</x:v>
      </x:c>
    </x:row>
    <x:row r="95" ht="28" customHeight="1">
      <x:c r="A95" s="16" t="str">
        <x:v>Беловская ГРЭС</x:v>
      </x:c>
      <x:c r="B95" s="16" t="str">
        <x:v>2000782086-U112</x:v>
      </x:c>
      <x:c r="C95" s="16" t="str">
        <x:v>ПОДВЕСКА 25 Л8-522.000-02</x:v>
      </x:c>
      <x:c r="D95" s="16" t="str">
        <x:v>Система опорно-подвесная</x:v>
      </x:c>
      <x:c r="E95" s="16" t="str">
        <x:v>ШТ</x:v>
      </x:c>
      <x:c r="F95" s="21" t="n">
        <x:v>20</x:v>
      </x:c>
      <x:c r="G95" s="17" t="n">
        <x:v>274.5</x:v>
      </x:c>
      <x:c r="H95" s="17" t="n">
        <x:f>G95*F95</x:f>
        <x:v>5490</x:v>
      </x:c>
      <x:c r="I95" s="22" t="str">
        <x:f>HYPERLINK("https://etp-aktiv.ru/catalog/materialy/truboprovody/2000782086-U112/","Открыть позицию")</x:f>
        <x:v>Открыть позицию</x:v>
      </x:c>
    </x:row>
    <x:row r="96" ht="28" customHeight="1">
      <x:c r="A96" s="16" t="str">
        <x:v>Беловская ГРЭС</x:v>
      </x:c>
      <x:c r="B96" s="16" t="str">
        <x:v>2000782087-U112</x:v>
      </x:c>
      <x:c r="C96" s="16" t="str">
        <x:v>ПОДВЕСКА 32 Л8-522.000-04</x:v>
      </x:c>
      <x:c r="D96" s="16" t="str">
        <x:v>Система опорно-подвесная</x:v>
      </x:c>
      <x:c r="E96" s="16" t="str">
        <x:v>ШТ</x:v>
      </x:c>
      <x:c r="F96" s="21" t="n">
        <x:v>54</x:v>
      </x:c>
      <x:c r="G96" s="17" t="n">
        <x:v>384.3</x:v>
      </x:c>
      <x:c r="H96" s="17" t="n">
        <x:f>G96*F96</x:f>
        <x:v>20752.2</x:v>
      </x:c>
      <x:c r="I96" s="22" t="str">
        <x:f>HYPERLINK("https://etp-aktiv.ru/catalog/materialy/truboprovody/2000782087-U112/","Открыть позицию")</x:f>
        <x:v>Открыть позицию</x:v>
      </x:c>
    </x:row>
    <x:row r="97" ht="28" customHeight="1">
      <x:c r="A97" s="16" t="str">
        <x:v>Беловская ГРЭС</x:v>
      </x:c>
      <x:c r="B97" s="16" t="str">
        <x:v>2000782110-U112</x:v>
      </x:c>
      <x:c r="C97" s="16" t="str">
        <x:v>ПОДВЕСКА 57 Л8-522.000-10</x:v>
      </x:c>
      <x:c r="D97" s="16" t="str">
        <x:v>Система опорно-подвесная</x:v>
      </x:c>
      <x:c r="E97" s="16" t="str">
        <x:v>ШТ</x:v>
      </x:c>
      <x:c r="F97" s="21" t="n">
        <x:v>18</x:v>
      </x:c>
      <x:c r="G97" s="17" t="n">
        <x:v>486.90200000000004</x:v>
      </x:c>
      <x:c r="H97" s="17" t="n">
        <x:f>G97*F97</x:f>
        <x:v>8764.236</x:v>
      </x:c>
      <x:c r="I97" s="22" t="str">
        <x:f>HYPERLINK("https://etp-aktiv.ru/catalog/materialy/truboprovody/2000782110-U112/","Открыть позицию")</x:f>
        <x:v>Открыть позицию</x:v>
      </x:c>
    </x:row>
    <x:row r="98" ht="28" customHeight="1">
      <x:c r="A98" s="16" t="str">
        <x:v>Беловская ГРЭС</x:v>
      </x:c>
      <x:c r="B98" s="16" t="str">
        <x:v>2000526740-U112</x:v>
      </x:c>
      <x:c r="C98" s="16" t="str">
        <x:v>ПОЛЗУН 998-20-9</x:v>
      </x:c>
      <x:c r="D98" s="16" t="str">
        <x:v>Запасные части к трубопроводной арматуре</x:v>
      </x:c>
      <x:c r="E98" s="16" t="str">
        <x:v>ШТ</x:v>
      </x:c>
      <x:c r="F98" s="21" t="n">
        <x:v>35</x:v>
      </x:c>
      <x:c r="G98" s="17" t="n">
        <x:v>115.27779999999998</x:v>
      </x:c>
      <x:c r="H98" s="17" t="n">
        <x:f>G98*F98</x:f>
        <x:v>4034.7229999999995</x:v>
      </x:c>
      <x:c r="I98" s="22" t="str">
        <x:f>HYPERLINK("https://etp-aktiv.ru/catalog/materialy/truboprovodnaya-armatura-i-komplektuyushchie/2000526740-U112/","Открыть позицию")</x:f>
        <x:v>Открыть позицию</x:v>
      </x:c>
    </x:row>
    <x:row r="99" ht="28" customHeight="1">
      <x:c r="A99" s="16" t="str">
        <x:v>Беловская ГРЭС</x:v>
      </x:c>
      <x:c r="B99" s="16" t="str">
        <x:v>2000553329-U112</x:v>
      </x:c>
      <x:c r="C99" s="16" t="str">
        <x:v>ПРОУШИНА 1-01 ОСТ34-10-733-93</x:v>
      </x:c>
      <x:c r="D99" s="16" t="str">
        <x:v>Система опорно-подвесная</x:v>
      </x:c>
      <x:c r="E99" s="16" t="str">
        <x:v>ШТ</x:v>
      </x:c>
      <x:c r="F99" s="21" t="n">
        <x:v>15</x:v>
      </x:c>
      <x:c r="G99" s="17" t="n">
        <x:v>219.27059999999997</x:v>
      </x:c>
      <x:c r="H99" s="17" t="n">
        <x:f>G99*F99</x:f>
        <x:v>3289.0589999999997</x:v>
      </x:c>
      <x:c r="I99" s="22" t="str">
        <x:f>HYPERLINK("https://etp-aktiv.ru/catalog/materialy/truboprovody/2000553329-U112/","Открыть позицию")</x:f>
        <x:v>Открыть позицию</x:v>
      </x:c>
    </x:row>
    <x:row r="100" ht="28" customHeight="1">
      <x:c r="A100" s="16" t="str">
        <x:v>Беловская ГРЭС</x:v>
      </x:c>
      <x:c r="B100" s="16" t="str">
        <x:v>2000553335-U112</x:v>
      </x:c>
      <x:c r="C100" s="16" t="str">
        <x:v>ПРОУШИНА 108У-07 ОСТ34-10-733-93</x:v>
      </x:c>
      <x:c r="D100" s="16" t="str">
        <x:v>Система опорно-подвесная</x:v>
      </x:c>
      <x:c r="E100" s="16" t="str">
        <x:v>ШТ</x:v>
      </x:c>
      <x:c r="F100" s="21" t="n">
        <x:v>6</x:v>
      </x:c>
      <x:c r="G100" s="17" t="n">
        <x:v>277.55</x:v>
      </x:c>
      <x:c r="H100" s="17" t="n">
        <x:f>G100*F100</x:f>
        <x:v>1665.3000000000002</x:v>
      </x:c>
      <x:c r="I100" s="22" t="str">
        <x:f>HYPERLINK("https://etp-aktiv.ru/catalog/materialy/truboprovody/2000553335-U112/","Открыть позицию")</x:f>
        <x:v>Открыть позицию</x:v>
      </x:c>
    </x:row>
    <x:row r="101" ht="28" customHeight="1">
      <x:c r="A101" s="16" t="str">
        <x:v>Беловская ГРЭС</x:v>
      </x:c>
      <x:c r="B101" s="16" t="str">
        <x:v>2000553355-U112</x:v>
      </x:c>
      <x:c r="C101" s="16" t="str">
        <x:v>ПРУЖИНА ИСП.18 МВН049-63</x:v>
      </x:c>
      <x:c r="D101" s="16" t="str">
        <x:v>Система опорно-подвесная</x:v>
      </x:c>
      <x:c r="E101" s="16" t="str">
        <x:v>ШТ</x:v>
      </x:c>
      <x:c r="F101" s="21" t="n">
        <x:v>1</x:v>
      </x:c>
      <x:c r="G101" s="17" t="n">
        <x:v>2949.9966000000004</x:v>
      </x:c>
      <x:c r="H101" s="17" t="n">
        <x:f>G101*F101</x:f>
        <x:v>2949.9966000000004</x:v>
      </x:c>
      <x:c r="I101" s="22" t="str">
        <x:f>HYPERLINK("https://etp-aktiv.ru/catalog/materialy/truboprovody/2000553355-U112/","Открыть позицию")</x:f>
        <x:v>Открыть позицию</x:v>
      </x:c>
    </x:row>
    <x:row r="102" ht="28" customHeight="1">
      <x:c r="A102" s="16" t="str">
        <x:v>Беловская ГРЭС</x:v>
      </x:c>
      <x:c r="B102" s="16" t="str">
        <x:v>2000526748-U112</x:v>
      </x:c>
      <x:c r="C102" s="16" t="str">
        <x:v>ПРУЖИНА СТП 57-77-03</x:v>
      </x:c>
      <x:c r="D102" s="16" t="str">
        <x:v>Запасные части к трубопроводной арматуре</x:v>
      </x:c>
      <x:c r="E102" s="16" t="str">
        <x:v>ШТ</x:v>
      </x:c>
      <x:c r="F102" s="21" t="n">
        <x:v>5</x:v>
      </x:c>
      <x:c r="G102" s="17" t="n">
        <x:v>3517.0281999999997</x:v>
      </x:c>
      <x:c r="H102" s="17" t="n">
        <x:f>G102*F102</x:f>
        <x:v>17585.141</x:v>
      </x:c>
      <x:c r="I102" s="22" t="str">
        <x:f>HYPERLINK("https://etp-aktiv.ru/catalog/materialy/truboprovodnaya-armatura-i-komplektuyushchie/2000526748-U112/","Открыть позицию")</x:f>
        <x:v>Открыть позицию</x:v>
      </x:c>
    </x:row>
    <x:row r="103" ht="28" customHeight="1">
      <x:c r="A103" s="16" t="str">
        <x:v>Беловская ГРЭС</x:v>
      </x:c>
      <x:c r="B103" s="16" t="str">
        <x:v>2000784134-U112</x:v>
      </x:c>
      <x:c r="C103" s="16" t="str">
        <x:v>ПРУЖИНА СТП-57-77-05 694-250/400-0</x:v>
      </x:c>
      <x:c r="D103" s="16" t="str">
        <x:v>Запасные части к трубопроводной арматуре</x:v>
      </x:c>
      <x:c r="E103" s="16" t="str">
        <x:v>ШТ</x:v>
      </x:c>
      <x:c r="F103" s="21" t="n">
        <x:v>2</x:v>
      </x:c>
      <x:c r="G103" s="17" t="n">
        <x:v>7907.6496</x:v>
      </x:c>
      <x:c r="H103" s="17" t="n">
        <x:f>G103*F103</x:f>
        <x:v>15815.2992</x:v>
      </x:c>
      <x:c r="I103" s="22" t="str">
        <x:f>HYPERLINK("https://etp-aktiv.ru/catalog/materialy/truboprovodnaya-armatura-i-komplektuyushchie/2000784134-U112/","Открыть позицию")</x:f>
        <x:v>Открыть позицию</x:v>
      </x:c>
    </x:row>
    <x:row r="104" ht="28" customHeight="1">
      <x:c r="A104" s="16" t="str">
        <x:v>Беловская ГРЭС</x:v>
      </x:c>
      <x:c r="B104" s="16" t="str">
        <x:v>2000555150-U112</x:v>
      </x:c>
      <x:c r="C104" s="16" t="str">
        <x:v>ТРОЙНИК 09Г2С 108*4-108 ГОСТ17376-01</x:v>
      </x:c>
      <x:c r="D104" s="16" t="str">
        <x:v>Детали фасонные</x:v>
      </x:c>
      <x:c r="E104" s="16" t="str">
        <x:v>ШТ</x:v>
      </x:c>
      <x:c r="F104" s="21" t="n">
        <x:v>1</x:v>
      </x:c>
      <x:c r="G104" s="17" t="n">
        <x:v>841.8</x:v>
      </x:c>
      <x:c r="H104" s="17" t="n">
        <x:f>G104*F104</x:f>
        <x:v>841.8</x:v>
      </x:c>
      <x:c r="I104" s="22" t="str">
        <x:f>HYPERLINK("https://etp-aktiv.ru/catalog/materialy/truboprovody/2000555150-U112/","Открыть позицию")</x:f>
        <x:v>Открыть позицию</x:v>
      </x:c>
    </x:row>
    <x:row r="105" ht="28" customHeight="1">
      <x:c r="A105" s="16" t="str">
        <x:v>Беловская ГРЭС</x:v>
      </x:c>
      <x:c r="B105" s="16" t="str">
        <x:v>2000555195-U112</x:v>
      </x:c>
      <x:c r="C105" s="16" t="str">
        <x:v>ТРОЙНИК 09Г2С 273*10-273 ГОСТ17376-01</x:v>
      </x:c>
      <x:c r="D105" s="16" t="str">
        <x:v>Детали фасонные</x:v>
      </x:c>
      <x:c r="E105" s="16" t="str">
        <x:v>ШТ</x:v>
      </x:c>
      <x:c r="F105" s="21" t="n">
        <x:v>2</x:v>
      </x:c>
      <x:c r="G105" s="17" t="n">
        <x:v>7900.0001999999995</x:v>
      </x:c>
      <x:c r="H105" s="17" t="n">
        <x:f>G105*F105</x:f>
        <x:v>15800.000399999999</x:v>
      </x:c>
      <x:c r="I105" s="22" t="str">
        <x:f>HYPERLINK("https://etp-aktiv.ru/catalog/materialy/truboprovody/2000555195-U112/","Открыть позицию")</x:f>
        <x:v>Открыть позицию</x:v>
      </x:c>
    </x:row>
    <x:row r="106" ht="28" customHeight="1">
      <x:c r="A106" s="16" t="str">
        <x:v>Беловская ГРЭС</x:v>
      </x:c>
      <x:c r="B106" s="16" t="str">
        <x:v>2000582242-U112</x:v>
      </x:c>
      <x:c r="C106" s="16" t="str">
        <x:v>ТРОЙНИК 09Г2С 325*219-2,5 037 34.10.764</x:v>
      </x:c>
      <x:c r="D106" s="16" t="str">
        <x:v>Детали фасонные</x:v>
      </x:c>
      <x:c r="E106" s="16" t="str">
        <x:v>ШТ</x:v>
      </x:c>
      <x:c r="F106" s="21" t="n">
        <x:v>2</x:v>
      </x:c>
      <x:c r="G106" s="17" t="n">
        <x:v>754.875</x:v>
      </x:c>
      <x:c r="H106" s="17" t="n">
        <x:f>G106*F106</x:f>
        <x:v>1509.75</x:v>
      </x:c>
      <x:c r="I106" s="22" t="str">
        <x:f>HYPERLINK("https://etp-aktiv.ru/catalog/materialy/truboprovody/2000582242-U112/","Открыть позицию")</x:f>
        <x:v>Открыть позицию</x:v>
      </x:c>
    </x:row>
    <x:row r="107" ht="28" customHeight="1">
      <x:c r="A107" s="16" t="str">
        <x:v>Беловская ГРЭС</x:v>
      </x:c>
      <x:c r="B107" s="16" t="str">
        <x:v>2000247716-U112</x:v>
      </x:c>
      <x:c r="C107" s="16" t="str">
        <x:v>ТРОЙНИК 09Г2С 325*8 ГОСТ17376-2001</x:v>
      </x:c>
      <x:c r="D107" s="16" t="str">
        <x:v>Детали фасонные</x:v>
      </x:c>
      <x:c r="E107" s="16" t="str">
        <x:v>ШТ</x:v>
      </x:c>
      <x:c r="F107" s="21" t="n">
        <x:v>1</x:v>
      </x:c>
      <x:c r="G107" s="17" t="n">
        <x:v>10667.375</x:v>
      </x:c>
      <x:c r="H107" s="17" t="n">
        <x:f>G107*F107</x:f>
        <x:v>10667.375</x:v>
      </x:c>
      <x:c r="I107" s="22" t="str">
        <x:f>HYPERLINK("https://etp-aktiv.ru/catalog/materialy/truboprovody/2000247716-U112/","Открыть позицию")</x:f>
        <x:v>Открыть позицию</x:v>
      </x:c>
    </x:row>
    <x:row r="108" ht="28" customHeight="1">
      <x:c r="A108" s="16" t="str">
        <x:v>Беловская ГРЭС</x:v>
      </x:c>
      <x:c r="B108" s="16" t="str">
        <x:v>2000555230-U112</x:v>
      </x:c>
      <x:c r="C108" s="16" t="str">
        <x:v>ТРОЙНИК 09Г2С 377*15-219*9 046 34.10.764</x:v>
      </x:c>
      <x:c r="D108" s="16" t="str">
        <x:v>Детали фасонные</x:v>
      </x:c>
      <x:c r="E108" s="16" t="str">
        <x:v>ШТ</x:v>
      </x:c>
      <x:c r="F108" s="21" t="n">
        <x:v>2</x:v>
      </x:c>
      <x:c r="G108" s="17" t="n">
        <x:v>22865.85</x:v>
      </x:c>
      <x:c r="H108" s="17" t="n">
        <x:f>G108*F108</x:f>
        <x:v>45731.7</x:v>
      </x:c>
      <x:c r="I108" s="22" t="str">
        <x:f>HYPERLINK("https://etp-aktiv.ru/catalog/materialy/truboprovody/2000555230-U112/","Открыть позицию")</x:f>
        <x:v>Открыть позицию</x:v>
      </x:c>
    </x:row>
    <x:row r="109" ht="28" customHeight="1">
      <x:c r="A109" s="16" t="str">
        <x:v>Беловская ГРЭС</x:v>
      </x:c>
      <x:c r="B109" s="16" t="str">
        <x:v>2000772134-U112</x:v>
      </x:c>
      <x:c r="C109" s="16" t="str">
        <x:v>ТРОЙНИК 09Г2С 377*18*18-4,0 19 34-10-762</x:v>
      </x:c>
      <x:c r="D109" s="16" t="str">
        <x:v>Детали фасонные</x:v>
      </x:c>
      <x:c r="E109" s="16" t="str">
        <x:v>ШТ</x:v>
      </x:c>
      <x:c r="F109" s="21" t="n">
        <x:v>2</x:v>
      </x:c>
      <x:c r="G109" s="17" t="n">
        <x:v>26676.825</x:v>
      </x:c>
      <x:c r="H109" s="17" t="n">
        <x:f>G109*F109</x:f>
        <x:v>53353.65</x:v>
      </x:c>
      <x:c r="I109" s="22" t="str">
        <x:f>HYPERLINK("https://etp-aktiv.ru/catalog/materialy/truboprovody/2000772134-U112/","Открыть позицию")</x:f>
        <x:v>Открыть позицию</x:v>
      </x:c>
    </x:row>
    <x:row r="110" ht="28" customHeight="1">
      <x:c r="A110" s="16" t="str">
        <x:v>Беловская ГРЭС</x:v>
      </x:c>
      <x:c r="B110" s="16" t="str">
        <x:v>2000774170-U112</x:v>
      </x:c>
      <x:c r="C110" s="16" t="str">
        <x:v>ТРОЙНИК 09Г2С 426*10-325*8 ГОСТ17376-01</x:v>
      </x:c>
      <x:c r="D110" s="16" t="str">
        <x:v>Детали фасонные</x:v>
      </x:c>
      <x:c r="E110" s="16" t="str">
        <x:v>ШТ</x:v>
      </x:c>
      <x:c r="F110" s="21" t="n">
        <x:v>2</x:v>
      </x:c>
      <x:c r="G110" s="17" t="n">
        <x:v>15239.324999999999</x:v>
      </x:c>
      <x:c r="H110" s="17" t="n">
        <x:f>G110*F110</x:f>
        <x:v>30478.649999999998</x:v>
      </x:c>
      <x:c r="I110" s="22" t="str">
        <x:f>HYPERLINK("https://etp-aktiv.ru/catalog/materialy/truboprovody/2000774170-U112/","Открыть позицию")</x:f>
        <x:v>Открыть позицию</x:v>
      </x:c>
    </x:row>
    <x:row r="111" ht="28" customHeight="1">
      <x:c r="A111" s="16" t="str">
        <x:v>Беловская ГРЭС</x:v>
      </x:c>
      <x:c r="B111" s="16" t="str">
        <x:v>2000555241-U112</x:v>
      </x:c>
      <x:c r="C111" s="16" t="str">
        <x:v>ТРОЙНИК 09Г2С 426*16-426*12 21 34.10.762</x:v>
      </x:c>
      <x:c r="D111" s="16" t="str">
        <x:v>Детали фасонные</x:v>
      </x:c>
      <x:c r="E111" s="16" t="str">
        <x:v>ШТ</x:v>
      </x:c>
      <x:c r="F111" s="21" t="n">
        <x:v>3</x:v>
      </x:c>
      <x:c r="G111" s="17" t="n">
        <x:v>27678.75</x:v>
      </x:c>
      <x:c r="H111" s="17" t="n">
        <x:f>G111*F111</x:f>
        <x:v>83036.25</x:v>
      </x:c>
      <x:c r="I111" s="22" t="str">
        <x:f>HYPERLINK("https://etp-aktiv.ru/catalog/materialy/truboprovody/2000555241-U112/","Открыть позицию")</x:f>
        <x:v>Открыть позицию</x:v>
      </x:c>
    </x:row>
    <x:row r="112" ht="28" customHeight="1">
      <x:c r="A112" s="16" t="str">
        <x:v>Беловская ГРЭС</x:v>
      </x:c>
      <x:c r="B112" s="16" t="str">
        <x:v>2000773838-U112</x:v>
      </x:c>
      <x:c r="C112" s="16" t="str">
        <x:v>ТРОЙНИК 17Г1С 1220*14-11 0,6 37 ОСТ34-10</x:v>
      </x:c>
      <x:c r="D112" s="16" t="str">
        <x:v>Детали фасонные</x:v>
      </x:c>
      <x:c r="E112" s="16" t="str">
        <x:v>ШТ</x:v>
      </x:c>
      <x:c r="F112" s="21" t="n">
        <x:v>1</x:v>
      </x:c>
      <x:c r="G112" s="17" t="n">
        <x:v>179179.875</x:v>
      </x:c>
      <x:c r="H112" s="17" t="n">
        <x:f>G112*F112</x:f>
        <x:v>179179.875</x:v>
      </x:c>
      <x:c r="I112" s="22" t="str">
        <x:f>HYPERLINK("https://etp-aktiv.ru/catalog/materialy/truboprovody/2000773838-U112/","Открыть позицию")</x:f>
        <x:v>Открыть позицию</x:v>
      </x:c>
    </x:row>
    <x:row r="113" ht="28" customHeight="1">
      <x:c r="A113" s="16" t="str">
        <x:v>Беловская ГРЭС</x:v>
      </x:c>
      <x:c r="B113" s="16" t="str">
        <x:v>2000771277-U112</x:v>
      </x:c>
      <x:c r="C113" s="16" t="str">
        <x:v>ТРОЙНИК 17Г1С 530*11-325*8 074 34-10-764</x:v>
      </x:c>
      <x:c r="D113" s="16" t="str">
        <x:v>Детали фасонные</x:v>
      </x:c>
      <x:c r="E113" s="16" t="str">
        <x:v>ШТ</x:v>
      </x:c>
      <x:c r="F113" s="21" t="n">
        <x:v>1</x:v>
      </x:c>
      <x:c r="G113" s="17" t="n">
        <x:v>22865.85</x:v>
      </x:c>
      <x:c r="H113" s="17" t="n">
        <x:f>G113*F113</x:f>
        <x:v>22865.85</x:v>
      </x:c>
      <x:c r="I113" s="22" t="str">
        <x:f>HYPERLINK("https://etp-aktiv.ru/catalog/materialy/truboprovody/2000771277-U112/","Открыть позицию")</x:f>
        <x:v>Открыть позицию</x:v>
      </x:c>
    </x:row>
    <x:row r="114" ht="28" customHeight="1">
      <x:c r="A114" s="16" t="str">
        <x:v>Беловская ГРЭС</x:v>
      </x:c>
      <x:c r="B114" s="16" t="str">
        <x:v>2000772109-U112</x:v>
      </x:c>
      <x:c r="C114" s="16" t="str">
        <x:v>ТРОЙНИК 17Г1С 530*14-426*10-2,5 077ОСТ34</x:v>
      </x:c>
      <x:c r="D114" s="16" t="str">
        <x:v>Детали фасонные</x:v>
      </x:c>
      <x:c r="E114" s="16" t="str">
        <x:v>ШТ</x:v>
      </x:c>
      <x:c r="F114" s="21" t="n">
        <x:v>1</x:v>
      </x:c>
      <x:c r="G114" s="17" t="n">
        <x:v>30492.375</x:v>
      </x:c>
      <x:c r="H114" s="17" t="n">
        <x:f>G114*F114</x:f>
        <x:v>30492.375</x:v>
      </x:c>
      <x:c r="I114" s="22" t="str">
        <x:f>HYPERLINK("https://etp-aktiv.ru/catalog/materialy/truboprovody/2000772109-U112/","Открыть позицию")</x:f>
        <x:v>Открыть позицию</x:v>
      </x:c>
    </x:row>
    <x:row r="115" ht="28" customHeight="1">
      <x:c r="A115" s="16" t="str">
        <x:v>Беловская ГРЭС</x:v>
      </x:c>
      <x:c r="B115" s="16" t="str">
        <x:v>2000772120-U112</x:v>
      </x:c>
      <x:c r="C115" s="16" t="str">
        <x:v>ТРОЙНИК 17Г1С 630*10-325*8 082 34-10-764</x:v>
      </x:c>
      <x:c r="D115" s="16" t="str">
        <x:v>Детали фасонные</x:v>
      </x:c>
      <x:c r="E115" s="16" t="str">
        <x:v>ШТ</x:v>
      </x:c>
      <x:c r="F115" s="21" t="n">
        <x:v>2</x:v>
      </x:c>
      <x:c r="G115" s="17" t="n">
        <x:v>26613.69</x:v>
      </x:c>
      <x:c r="H115" s="17" t="n">
        <x:f>G115*F115</x:f>
        <x:v>53227.38</x:v>
      </x:c>
      <x:c r="I115" s="22" t="str">
        <x:f>HYPERLINK("https://etp-aktiv.ru/catalog/materialy/truboprovody/2000772120-U112/","Открыть позицию")</x:f>
        <x:v>Открыть позицию</x:v>
      </x:c>
    </x:row>
    <x:row r="116" ht="28" customHeight="1">
      <x:c r="A116" s="16" t="str">
        <x:v>Беловская ГРЭС</x:v>
      </x:c>
      <x:c r="B116" s="16" t="str">
        <x:v>2000568324-U112</x:v>
      </x:c>
      <x:c r="C116" s="16" t="str">
        <x:v>ТРОЙНИК 17Г1С 820*18-530*14 116 3410764</x:v>
      </x:c>
      <x:c r="D116" s="16" t="str">
        <x:v>Детали фасонные</x:v>
      </x:c>
      <x:c r="E116" s="16" t="str">
        <x:v>ШТ</x:v>
      </x:c>
      <x:c r="F116" s="21" t="n">
        <x:v>1</x:v>
      </x:c>
      <x:c r="G116" s="17" t="n">
        <x:v>83864.325</x:v>
      </x:c>
      <x:c r="H116" s="17" t="n">
        <x:f>G116*F116</x:f>
        <x:v>83864.325</x:v>
      </x:c>
      <x:c r="I116" s="22" t="str">
        <x:f>HYPERLINK("https://etp-aktiv.ru/catalog/materialy/truboprovody/2000568324-U112/","Открыть позицию")</x:f>
        <x:v>Открыть позицию</x:v>
      </x:c>
    </x:row>
    <x:row r="117" ht="28" customHeight="1">
      <x:c r="A117" s="16" t="str">
        <x:v>Беловская ГРЭС</x:v>
      </x:c>
      <x:c r="B117" s="16" t="str">
        <x:v>2000555160-U112</x:v>
      </x:c>
      <x:c r="C117" s="16" t="str">
        <x:v>ТРОЙНИК СТ20 133*4-133 ГОСТ17376-01</x:v>
      </x:c>
      <x:c r="D117" s="16" t="str">
        <x:v>Детали фасонные</x:v>
      </x:c>
      <x:c r="E117" s="16" t="str">
        <x:v>ШТ</x:v>
      </x:c>
      <x:c r="F117" s="21" t="n">
        <x:v>4</x:v>
      </x:c>
      <x:c r="G117" s="17" t="n">
        <x:v>983.625</x:v>
      </x:c>
      <x:c r="H117" s="17" t="n">
        <x:f>G117*F117</x:f>
        <x:v>3934.5</x:v>
      </x:c>
      <x:c r="I117" s="22" t="str">
        <x:f>HYPERLINK("https://etp-aktiv.ru/catalog/materialy/truboprovody/2000555160-U112/","Открыть позицию")</x:f>
        <x:v>Открыть позицию</x:v>
      </x:c>
    </x:row>
    <x:row r="118" ht="28" customHeight="1">
      <x:c r="A118" s="16" t="str">
        <x:v>Беловская ГРЭС</x:v>
      </x:c>
      <x:c r="B118" s="16" t="str">
        <x:v>2000560351-U112</x:v>
      </x:c>
      <x:c r="C118" s="16" t="str">
        <x:v>ТРУБА 09Г2С 273*8 ТУ14-3-1128-00</x:v>
      </x:c>
      <x:c r="D118" s="16" t="str">
        <x:v>Трубы черные бесшовные</x:v>
      </x:c>
      <x:c r="E118" s="16" t="str">
        <x:v>Т</x:v>
      </x:c>
      <x:c r="F118" s="30" t="n">
        <x:v>0.107</x:v>
      </x:c>
      <x:c r="G118" s="17" t="n">
        <x:v>192150</x:v>
      </x:c>
      <x:c r="H118" s="17" t="n">
        <x:f>G118*F118</x:f>
        <x:v>20560.05</x:v>
      </x:c>
      <x:c r="I118" s="22" t="str">
        <x:f>HYPERLINK("https://etp-aktiv.ru/catalog/materialy/truby-stalnye-i-polimernye/2000560351-U112/","Открыть позицию")</x:f>
        <x:v>Открыть позицию</x:v>
      </x:c>
    </x:row>
    <x:row r="119" ht="28" customHeight="1">
      <x:c r="A119" s="16" t="str">
        <x:v>Беловская ГРЭС</x:v>
      </x:c>
      <x:c r="B119" s="16" t="str">
        <x:v>2000560355-U112</x:v>
      </x:c>
      <x:c r="C119" s="16" t="str">
        <x:v>ТРУБА 09Г2С 377*9 ТУ14-3-1128-00</x:v>
      </x:c>
      <x:c r="D119" s="16" t="str">
        <x:v>Трубы черные бесшовные</x:v>
      </x:c>
      <x:c r="E119" s="16" t="str">
        <x:v>Т</x:v>
      </x:c>
      <x:c r="F119" s="30" t="n">
        <x:v>0.49</x:v>
      </x:c>
      <x:c r="G119" s="17" t="n">
        <x:v>100631.17540000001</x:v>
      </x:c>
      <x:c r="H119" s="17" t="n">
        <x:f>G119*F119</x:f>
        <x:v>49309.275946</x:v>
      </x:c>
      <x:c r="I119" s="22" t="str">
        <x:f>HYPERLINK("https://etp-aktiv.ru/catalog/materialy/truby-stalnye-i-polimernye/2000560355-U112/","Открыть позицию")</x:f>
        <x:v>Открыть позицию</x:v>
      </x:c>
    </x:row>
    <x:row r="120" ht="28" customHeight="1">
      <x:c r="A120" s="16" t="str">
        <x:v>Беловская ГРЭС</x:v>
      </x:c>
      <x:c r="B120" s="16" t="str">
        <x:v>2000570104-U112</x:v>
      </x:c>
      <x:c r="C120" s="16" t="str">
        <x:v>ТРУБА 09Г2С 820*10 ГОСТ10706-76</x:v>
      </x:c>
      <x:c r="D120" s="16" t="str">
        <x:v>Трубы черные сварные большого диаметра</x:v>
      </x:c>
      <x:c r="E120" s="16" t="str">
        <x:v>Т</x:v>
      </x:c>
      <x:c r="F120" s="29" t="n">
        <x:v>2.028</x:v>
      </x:c>
      <x:c r="G120" s="17" t="n">
        <x:v>98338.8808</x:v>
      </x:c>
      <x:c r="H120" s="17" t="n">
        <x:f>G120*F120</x:f>
        <x:v>199431.2502624</x:v>
      </x:c>
      <x:c r="I120" s="22" t="str">
        <x:f>HYPERLINK("https://etp-aktiv.ru/catalog/materialy/truby-stalnye-i-polimernye/2000570104-U112/","Открыть позицию")</x:f>
        <x:v>Открыть позицию</x:v>
      </x:c>
    </x:row>
    <x:row r="121" ht="28" customHeight="1">
      <x:c r="A121" s="16" t="str">
        <x:v>Беловская ГРЭС</x:v>
      </x:c>
      <x:c r="B121" s="16" t="str">
        <x:v>2000148470-U112</x:v>
      </x:c>
      <x:c r="C121" s="16" t="str">
        <x:v>ТРУБА 12Х18Н10Т 10*2 ГОСТ9941-81</x:v>
      </x:c>
      <x:c r="D121" s="16" t="str">
        <x:v>Трубы нержавеющ(сварные и бесшовн) кроме котельн выс.давл</x:v>
      </x:c>
      <x:c r="E121" s="16" t="str">
        <x:v>Т</x:v>
      </x:c>
      <x:c r="F121" s="30" t="n">
        <x:v>0.02</x:v>
      </x:c>
      <x:c r="G121" s="17" t="n">
        <x:v>526229.7736</x:v>
      </x:c>
      <x:c r="H121" s="17" t="n">
        <x:f>G121*F121</x:f>
        <x:v>10524.595471999999</x:v>
      </x:c>
      <x:c r="I121" s="22" t="str">
        <x:f>HYPERLINK("https://etp-aktiv.ru/catalog/materialy/truby-stalnye-i-polimernye/2000148470-U112/","Открыть позицию")</x:f>
        <x:v>Открыть позицию</x:v>
      </x:c>
    </x:row>
    <x:row r="122" ht="28" customHeight="1">
      <x:c r="A122" s="16" t="str">
        <x:v>Беловская ГРЭС</x:v>
      </x:c>
      <x:c r="B122" s="16" t="str">
        <x:v>2000560649-U112</x:v>
      </x:c>
      <x:c r="C122" s="16" t="str">
        <x:v>ТРУБА 12Х18Н10Т 16*2,5 ГОСТ9941-81</x:v>
      </x:c>
      <x:c r="D122" s="16" t="str">
        <x:v>Трубы нержавеющ(сварные и бесшовн) кроме котельн выс.давл</x:v>
      </x:c>
      <x:c r="E122" s="16" t="str">
        <x:v>Т</x:v>
      </x:c>
      <x:c r="F122" s="30" t="n">
        <x:v>0.002</x:v>
      </x:c>
      <x:c r="G122" s="17" t="n">
        <x:v>431006.175</x:v>
      </x:c>
      <x:c r="H122" s="17" t="n">
        <x:f>G122*F122</x:f>
        <x:v>862.01235</x:v>
      </x:c>
      <x:c r="I122" s="22" t="str">
        <x:f>HYPERLINK("https://etp-aktiv.ru/catalog/materialy/truby-stalnye-i-polimernye/2000560649-U112/","Открыть позицию")</x:f>
        <x:v>Открыть позицию</x:v>
      </x:c>
    </x:row>
    <x:row r="123" ht="28" customHeight="1">
      <x:c r="A123" s="16" t="str">
        <x:v>Беловская ГРЭС</x:v>
      </x:c>
      <x:c r="B123" s="16" t="str">
        <x:v>2000557825-U112</x:v>
      </x:c>
      <x:c r="C123" s="16" t="str">
        <x:v>ТРУБА 12Х18Н10Т 60*4 ГОСТ9940-81</x:v>
      </x:c>
      <x:c r="D123" s="16" t="str">
        <x:v>Трубы нержавеющ(сварные и бесшовн) кроме котельн выс.давл</x:v>
      </x:c>
      <x:c r="E123" s="16" t="str">
        <x:v>Т</x:v>
      </x:c>
      <x:c r="F123" s="29" t="n">
        <x:v>1.434</x:v>
      </x:c>
      <x:c r="G123" s="17" t="n">
        <x:v>429891.37559999997</x:v>
      </x:c>
      <x:c r="H123" s="17" t="n">
        <x:f>G123*F123</x:f>
        <x:v>616464.2326104</x:v>
      </x:c>
      <x:c r="I123" s="22" t="str">
        <x:f>HYPERLINK("https://etp-aktiv.ru/catalog/materialy/truby-stalnye-i-polimernye/2000557825-U112/","Открыть позицию")</x:f>
        <x:v>Открыть позицию</x:v>
      </x:c>
    </x:row>
    <x:row r="124" ht="28" customHeight="1">
      <x:c r="A124" s="16" t="str">
        <x:v>Беловская ГРЭС</x:v>
      </x:c>
      <x:c r="B124" s="16" t="str">
        <x:v>2000546002-U112</x:v>
      </x:c>
      <x:c r="C124" s="16" t="str">
        <x:v>ТРУБА 12Х1МФ 38*4,5 ТУ14-3Р-55-01</x:v>
      </x:c>
      <x:c r="D124" s="16" t="str">
        <x:v>Трубы котельные высокого давления</x:v>
      </x:c>
      <x:c r="E124" s="16" t="str">
        <x:v>Т</x:v>
      </x:c>
      <x:c r="F124" s="30" t="n">
        <x:v>0.034</x:v>
      </x:c>
      <x:c r="G124" s="17" t="n">
        <x:v>153103.4608</x:v>
      </x:c>
      <x:c r="H124" s="17" t="n">
        <x:f>G124*F124</x:f>
        <x:v>5205.517667200001</x:v>
      </x:c>
      <x:c r="I124" s="22" t="str">
        <x:f>HYPERLINK("https://etp-aktiv.ru/catalog/materialy/truby-stalnye-i-polimernye/2000546002-U112/","Открыть позицию")</x:f>
        <x:v>Открыть позицию</x:v>
      </x:c>
    </x:row>
    <x:row r="125" ht="28" customHeight="1">
      <x:c r="A125" s="16" t="str">
        <x:v>Беловская ГРЭС</x:v>
      </x:c>
      <x:c r="B125" s="16" t="str">
        <x:v>2000147499-U112</x:v>
      </x:c>
      <x:c r="C125" s="16" t="str">
        <x:v>ТРУБА 12Х1МФ 76*13 ТУ14-3Р-55-01</x:v>
      </x:c>
      <x:c r="D125" s="16" t="str">
        <x:v>Трубы котельные высокого давления</x:v>
      </x:c>
      <x:c r="E125" s="16" t="str">
        <x:v>Т</x:v>
      </x:c>
      <x:c r="F125" s="29" t="n">
        <x:v>1.355</x:v>
      </x:c>
      <x:c r="G125" s="17" t="n">
        <x:v>227744.20759999997</x:v>
      </x:c>
      <x:c r="H125" s="17" t="n">
        <x:f>G125*F125</x:f>
        <x:v>308593.40129799995</x:v>
      </x:c>
      <x:c r="I125" s="22" t="str">
        <x:f>HYPERLINK("https://etp-aktiv.ru/catalog/materialy/truby-stalnye-i-polimernye/2000147499-U112/","Открыть позицию")</x:f>
        <x:v>Открыть позицию</x:v>
      </x:c>
    </x:row>
    <x:row r="126" ht="28" customHeight="1">
      <x:c r="A126" s="16" t="str">
        <x:v>Беловская ГРЭС</x:v>
      </x:c>
      <x:c r="B126" s="16" t="str">
        <x:v>2000561374-U112</x:v>
      </x:c>
      <x:c r="C126" s="16" t="str">
        <x:v>ТРУБА 12Х1МФ Г 325*42 ТУ14-3Р-55-01</x:v>
      </x:c>
      <x:c r="D126" s="16" t="str">
        <x:v>Трубы котельные высокого давления</x:v>
      </x:c>
      <x:c r="E126" s="16" t="str">
        <x:v>Т</x:v>
      </x:c>
      <x:c r="F126" s="29" t="n">
        <x:v>4.005</x:v>
      </x:c>
      <x:c r="G126" s="17" t="n">
        <x:v>297375</x:v>
      </x:c>
      <x:c r="H126" s="17" t="n">
        <x:f>G126*F126</x:f>
        <x:v>1190986.875</x:v>
      </x:c>
      <x:c r="I126" s="22" t="str">
        <x:f>HYPERLINK("https://etp-aktiv.ru/catalog/materialy/truby-stalnye-i-polimernye/2000561374-U112/","Открыть позицию")</x:f>
        <x:v>Открыть позицию</x:v>
      </x:c>
    </x:row>
    <x:row r="127" ht="28" customHeight="1">
      <x:c r="A127" s="16" t="str">
        <x:v>Беловская ГРЭС</x:v>
      </x:c>
      <x:c r="B127" s="16" t="str">
        <x:v>M2000546122-U112</x:v>
      </x:c>
      <x:c r="C127" s="16" t="str">
        <x:v>ТРУБА 12Х1МФ Х 45*4,5 ТУ14-3Р-55-01</x:v>
      </x:c>
      <x:c r="D127" s="16" t="str">
        <x:v>Трубы котельные высокого давления</x:v>
      </x:c>
      <x:c r="E127" s="16" t="str">
        <x:v>Т</x:v>
      </x:c>
      <x:c r="F127" s="21" t="n">
        <x:v>3</x:v>
      </x:c>
      <x:c r="G127" s="17" t="n">
        <x:v>14030</x:v>
      </x:c>
      <x:c r="H127" s="17" t="n">
        <x:f>G127*F127</x:f>
        <x:v>42090</x:v>
      </x:c>
      <x:c r="I127" s="22" t="str">
        <x:f>HYPERLINK("https://etp-aktiv.ru/catalog/materialy/truby-stalnye-i-polimernye/M2000546122-U112/","Открыть позицию")</x:f>
        <x:v>Открыть позицию</x:v>
      </x:c>
    </x:row>
    <x:row r="128" ht="28" customHeight="1">
      <x:c r="A128" s="16" t="str">
        <x:v>Беловская ГРЭС</x:v>
      </x:c>
      <x:c r="B128" s="16" t="str">
        <x:v>2000546086-U112</x:v>
      </x:c>
      <x:c r="C128" s="16" t="str">
        <x:v>ТРУБА 15ГС 273*24 ТУ14-3Р-55-01</x:v>
      </x:c>
      <x:c r="D128" s="16" t="str">
        <x:v>Трубы котельные высокого давления</x:v>
      </x:c>
      <x:c r="E128" s="16" t="str">
        <x:v>Т</x:v>
      </x:c>
      <x:c r="F128" s="29" t="n">
        <x:v>2.655</x:v>
      </x:c>
      <x:c r="G128" s="17" t="n">
        <x:v>289564.12080000003</x:v>
      </x:c>
      <x:c r="H128" s="17" t="n">
        <x:f>G128*F128</x:f>
        <x:v>768792.740724</x:v>
      </x:c>
      <x:c r="I128" s="22" t="str">
        <x:f>HYPERLINK("https://etp-aktiv.ru/catalog/materialy/truby-stalnye-i-polimernye/2000546086-U112/","Открыть позицию")</x:f>
        <x:v>Открыть позицию</x:v>
      </x:c>
    </x:row>
    <x:row r="129" ht="28" customHeight="1">
      <x:c r="A129" s="16" t="str">
        <x:v>Беловская ГРЭС</x:v>
      </x:c>
      <x:c r="B129" s="16" t="str">
        <x:v>2000627925-U112</x:v>
      </x:c>
      <x:c r="C129" s="16" t="str">
        <x:v>ТРУБА 3-Т 17Г1С 1220*11 К52 ГОСТ20295-85</x:v>
      </x:c>
      <x:c r="D129" s="16" t="str">
        <x:v>Трубы черные сварные большого диаметра</x:v>
      </x:c>
      <x:c r="E129" s="16" t="str">
        <x:v>Т</x:v>
      </x:c>
      <x:c r="F129" s="29" t="n">
        <x:v>2.6</x:v>
      </x:c>
      <x:c r="G129" s="17" t="n">
        <x:v>155550</x:v>
      </x:c>
      <x:c r="H129" s="17" t="n">
        <x:f>G129*F129</x:f>
        <x:v>404430</x:v>
      </x:c>
      <x:c r="I129" s="22" t="str">
        <x:f>HYPERLINK("https://etp-aktiv.ru/catalog/materialy/truby-stalnye-i-polimernye/2000627925-U112/","Открыть позицию")</x:f>
        <x:v>Открыть позицию</x:v>
      </x:c>
    </x:row>
    <x:row r="130" ht="28" customHeight="1">
      <x:c r="A130" s="16" t="str">
        <x:v>Беловская ГРЭС</x:v>
      </x:c>
      <x:c r="B130" s="16" t="str">
        <x:v>2000149777-U112</x:v>
      </x:c>
      <x:c r="C130" s="16" t="str">
        <x:v>ТРУБА Б/Ш 09Г2С Г/Д 325*8 ГОСТ8732-78</x:v>
      </x:c>
      <x:c r="D130" s="16" t="str">
        <x:v>Трубы черные бесшовные</x:v>
      </x:c>
      <x:c r="E130" s="16" t="str">
        <x:v>Т</x:v>
      </x:c>
      <x:c r="F130" s="29" t="n">
        <x:v>5.328</x:v>
      </x:c>
      <x:c r="G130" s="17" t="n">
        <x:v>120254.5216</x:v>
      </x:c>
      <x:c r="H130" s="17" t="n">
        <x:f>G130*F130</x:f>
        <x:v>640716.0910848</x:v>
      </x:c>
      <x:c r="I130" s="22" t="str">
        <x:f>HYPERLINK("https://etp-aktiv.ru/catalog/materialy/truby-stalnye-i-polimernye/2000149777-U112/","Открыть позицию")</x:f>
        <x:v>Открыть позицию</x:v>
      </x:c>
    </x:row>
    <x:row r="131" ht="28" customHeight="1">
      <x:c r="A131" s="16" t="str">
        <x:v>Беловская ГРЭС</x:v>
      </x:c>
      <x:c r="B131" s="16" t="str">
        <x:v>2000253758-U112</x:v>
      </x:c>
      <x:c r="C131" s="16" t="str">
        <x:v>ТРУБА Б/Ш СТ20 Г/Д 38*5 ГОСТ8732-78</x:v>
      </x:c>
      <x:c r="D131" s="16" t="str">
        <x:v>Трубы черные бесшовные</x:v>
      </x:c>
      <x:c r="E131" s="16" t="str">
        <x:v>Т</x:v>
      </x:c>
      <x:c r="F131" s="30" t="n">
        <x:v>0.02</x:v>
      </x:c>
      <x:c r="G131" s="17" t="n">
        <x:v>305000.1586</x:v>
      </x:c>
      <x:c r="H131" s="17" t="n">
        <x:f>G131*F131</x:f>
        <x:v>6100.003172000001</x:v>
      </x:c>
      <x:c r="I131" s="22" t="str">
        <x:f>HYPERLINK("https://etp-aktiv.ru/catalog/materialy/truby-stalnye-i-polimernye/2000253758-U112/","Открыть позицию")</x:f>
        <x:v>Открыть позицию</x:v>
      </x:c>
    </x:row>
    <x:row r="132" ht="28" customHeight="1">
      <x:c r="A132" s="16" t="str">
        <x:v>Беловская ГРЭС</x:v>
      </x:c>
      <x:c r="B132" s="16" t="str">
        <x:v>2000560542-U112</x:v>
      </x:c>
      <x:c r="C132" s="16" t="str">
        <x:v>ТРУБА В-СТ10 76*4 ГОСТ10705-80</x:v>
      </x:c>
      <x:c r="D132" s="16" t="str">
        <x:v>Трубы черные сварные малого и среднего диаметра</x:v>
      </x:c>
      <x:c r="E132" s="16" t="str">
        <x:v>Т</x:v>
      </x:c>
      <x:c r="F132" s="30" t="n">
        <x:v>0.24</x:v>
      </x:c>
      <x:c r="G132" s="17" t="n">
        <x:v>43500.002799999995</x:v>
      </x:c>
      <x:c r="H132" s="17" t="n">
        <x:f>G132*F132</x:f>
        <x:v>10440.000671999998</x:v>
      </x:c>
      <x:c r="I132" s="22" t="str">
        <x:f>HYPERLINK("https://etp-aktiv.ru/catalog/materialy/truby-stalnye-i-polimernye/2000560542-U112/","Открыть позицию")</x:f>
        <x:v>Открыть позицию</x:v>
      </x:c>
    </x:row>
    <x:row r="133" ht="28" customHeight="1">
      <x:c r="A133" s="16" t="str">
        <x:v>Беловская ГРЭС</x:v>
      </x:c>
      <x:c r="B133" s="16" t="str">
        <x:v>2000557811-U112</x:v>
      </x:c>
      <x:c r="C133" s="16" t="str">
        <x:v>ТРУБА ВГП Н СТ3 15*3,2 ГОСТ3262-75</x:v>
      </x:c>
      <x:c r="D133" s="16" t="str">
        <x:v>Трубы черные сварные малого и среднего диаметра</x:v>
      </x:c>
      <x:c r="E133" s="16" t="str">
        <x:v>Т</x:v>
      </x:c>
      <x:c r="F133" s="30" t="n">
        <x:v>0.139</x:v>
      </x:c>
      <x:c r="G133" s="17" t="n">
        <x:v>42750.0078</x:v>
      </x:c>
      <x:c r="H133" s="17" t="n">
        <x:f>G133*F133</x:f>
        <x:v>5942.2510842</x:v>
      </x:c>
      <x:c r="I133" s="22" t="str">
        <x:f>HYPERLINK("https://etp-aktiv.ru/catalog/materialy/truby-stalnye-i-polimernye/2000557811-U112/","Открыть позицию")</x:f>
        <x:v>Открыть позицию</x:v>
      </x:c>
    </x:row>
    <x:row r="134" ht="28" customHeight="1">
      <x:c r="A134" s="16" t="str">
        <x:v>Беловская ГРЭС</x:v>
      </x:c>
      <x:c r="B134" s="16" t="str">
        <x:v>2000582111-U112</x:v>
      </x:c>
      <x:c r="C134" s="16" t="str">
        <x:v>ТРУБА ВГП СТ20 80*4,5 ГОСТ3262-75</x:v>
      </x:c>
      <x:c r="D134" s="16" t="str">
        <x:v>Трубы черные сварные малого и среднего диаметра</x:v>
      </x:c>
      <x:c r="E134" s="16" t="str">
        <x:v>Т</x:v>
      </x:c>
      <x:c r="F134" s="30" t="n">
        <x:v>0.484</x:v>
      </x:c>
      <x:c r="G134" s="17" t="n">
        <x:v>44194.658599999995</x:v>
      </x:c>
      <x:c r="H134" s="17" t="n">
        <x:f>G134*F134</x:f>
        <x:v>21390.214762399995</x:v>
      </x:c>
      <x:c r="I134" s="22" t="str">
        <x:f>HYPERLINK("https://etp-aktiv.ru/catalog/materialy/truby-stalnye-i-polimernye/2000582111-U112/","Открыть позицию")</x:f>
        <x:v>Открыть позицию</x:v>
      </x:c>
    </x:row>
    <x:row r="135" ht="28" customHeight="1">
      <x:c r="A135" s="16" t="str">
        <x:v>Беловская ГРЭС</x:v>
      </x:c>
      <x:c r="B135" s="16" t="str">
        <x:v>2000318407-U112</x:v>
      </x:c>
      <x:c r="C135" s="16" t="str">
        <x:v>ТРУБА ВГП СТ3 Т 20*2,5 ГОСТ3262-75</x:v>
      </x:c>
      <x:c r="D135" s="16" t="str">
        <x:v>Трубы черные сварные малого и среднего диаметра</x:v>
      </x:c>
      <x:c r="E135" s="16" t="str">
        <x:v>Т</x:v>
      </x:c>
      <x:c r="F135" s="30" t="n">
        <x:v>0.098</x:v>
      </x:c>
      <x:c r="G135" s="17" t="n">
        <x:v>67906.0052</x:v>
      </x:c>
      <x:c r="H135" s="17" t="n">
        <x:f>G135*F135</x:f>
        <x:v>6654.7885096</x:v>
      </x:c>
      <x:c r="I135" s="22" t="str">
        <x:f>HYPERLINK("https://etp-aktiv.ru/catalog/materialy/truby-stalnye-i-polimernye/2000318407-U112/","Открыть позицию")</x:f>
        <x:v>Открыть позицию</x:v>
      </x:c>
    </x:row>
    <x:row r="136" ht="28" customHeight="1">
      <x:c r="A136" s="16" t="str">
        <x:v>Беловская ГРЭС</x:v>
      </x:c>
      <x:c r="B136" s="16" t="str">
        <x:v>2000560317-U112</x:v>
      </x:c>
      <x:c r="C136" s="16" t="str">
        <x:v>ТРУБА ВГП СТ3СП5 20*3,2 ГОСТ3262-75</x:v>
      </x:c>
      <x:c r="D136" s="16" t="str">
        <x:v>Трубы черные сварные малого и среднего диаметра</x:v>
      </x:c>
      <x:c r="E136" s="16" t="str">
        <x:v>Т</x:v>
      </x:c>
      <x:c r="F136" s="30" t="n">
        <x:v>0.309</x:v>
      </x:c>
      <x:c r="G136" s="17" t="n">
        <x:v>42750.0078</x:v>
      </x:c>
      <x:c r="H136" s="17" t="n">
        <x:f>G136*F136</x:f>
        <x:v>13209.752410199999</x:v>
      </x:c>
      <x:c r="I136" s="22" t="str">
        <x:f>HYPERLINK("https://etp-aktiv.ru/catalog/materialy/truby-stalnye-i-polimernye/2000560317-U112/","Открыть позицию")</x:f>
        <x:v>Открыть позицию</x:v>
      </x:c>
    </x:row>
    <x:row r="137" ht="28" customHeight="1">
      <x:c r="A137" s="16" t="str">
        <x:v>Беловская ГРЭС</x:v>
      </x:c>
      <x:c r="B137" s="16" t="str">
        <x:v>2000533202-U112</x:v>
      </x:c>
      <x:c r="C137" s="16" t="str">
        <x:v>ТРУБА ГОФР С ЗОНДОМ 16ММ 28-0016</x:v>
      </x:c>
      <x:c r="D137" s="16" t="str">
        <x:v>Монтажные изделия для кабельной продукции</x:v>
      </x:c>
      <x:c r="E137" s="16" t="str">
        <x:v>М</x:v>
      </x:c>
      <x:c r="F137" s="21" t="n">
        <x:v>90</x:v>
      </x:c>
      <x:c r="G137" s="17" t="n">
        <x:v>3.7941999999999996</x:v>
      </x:c>
      <x:c r="H137" s="17" t="n">
        <x:f>G137*F137</x:f>
        <x:v>341.47799999999995</x:v>
      </x:c>
      <x:c r="I137" s="22" t="str">
        <x:f>HYPERLINK("https://etp-aktiv.ru/catalog/materialy/ehlektrotekhnicheskie-materialy/2000533202-U112/","Открыть позицию")</x:f>
        <x:v>Открыть позицию</x:v>
      </x:c>
    </x:row>
    <x:row r="138" ht="28" customHeight="1">
      <x:c r="A138" s="16" t="str">
        <x:v>Беловская ГРЭС</x:v>
      </x:c>
      <x:c r="B138" s="16" t="str">
        <x:v>2000533177-U112</x:v>
      </x:c>
      <x:c r="C138" s="16" t="str">
        <x:v>ТРУБА ГОФРПВХ 16ММ CTG20-16-K41-100I</x:v>
      </x:c>
      <x:c r="D138" s="16" t="str">
        <x:v>Монтажные изделия для кабельной продукции</x:v>
      </x:c>
      <x:c r="E138" s="16" t="str">
        <x:v>М</x:v>
      </x:c>
      <x:c r="F138" s="21" t="n">
        <x:v>220</x:v>
      </x:c>
      <x:c r="G138" s="17" t="n">
        <x:v>3.7941999999999996</x:v>
      </x:c>
      <x:c r="H138" s="17" t="n">
        <x:f>G138*F138</x:f>
        <x:v>834.7239999999999</x:v>
      </x:c>
      <x:c r="I138" s="22" t="str">
        <x:f>HYPERLINK("https://etp-aktiv.ru/catalog/materialy/ehlektrotekhnicheskie-materialy/2000533177-U112/","Открыть позицию")</x:f>
        <x:v>Открыть позицию</x:v>
      </x:c>
    </x:row>
    <x:row r="139" ht="28" customHeight="1">
      <x:c r="A139" s="16" t="str">
        <x:v>Беловская ГРЭС</x:v>
      </x:c>
      <x:c r="B139" s="16" t="str">
        <x:v>2000635966-U112</x:v>
      </x:c>
      <x:c r="C139" s="16" t="str">
        <x:v>ТРУБА З-Т 17Г1С 630*8 К52 ГОСТ20295-85</x:v>
      </x:c>
      <x:c r="D139" s="16" t="str">
        <x:v>Трубы черные сварные большого диаметра</x:v>
      </x:c>
      <x:c r="E139" s="16" t="str">
        <x:v>Т</x:v>
      </x:c>
      <x:c r="F139" s="30" t="n">
        <x:v>0.961</x:v>
      </x:c>
      <x:c r="G139" s="17" t="n">
        <x:v>122000</x:v>
      </x:c>
      <x:c r="H139" s="17" t="n">
        <x:f>G139*F139</x:f>
        <x:v>117242</x:v>
      </x:c>
      <x:c r="I139" s="22" t="str">
        <x:f>HYPERLINK("https://etp-aktiv.ru/catalog/materialy/truby-stalnye-i-polimernye/2000635966-U112/","Открыть позицию")</x:f>
        <x:v>Открыть позицию</x:v>
      </x:c>
    </x:row>
    <x:row r="140" ht="28" customHeight="1">
      <x:c r="A140" s="16" t="str">
        <x:v>Беловская ГРЭС</x:v>
      </x:c>
      <x:c r="B140" s="16" t="str">
        <x:v>2000546089-U112</x:v>
      </x:c>
      <x:c r="C140" s="16" t="str">
        <x:v>ТРУБА КВД 12Х1МФ 32*6 ТУ14-3Р-55-01</x:v>
      </x:c>
      <x:c r="D140" s="16" t="str">
        <x:v>Трубы котельные высокого давления</x:v>
      </x:c>
      <x:c r="E140" s="16" t="str">
        <x:v>Т</x:v>
      </x:c>
      <x:c r="F140" s="30" t="n">
        <x:v>0.641</x:v>
      </x:c>
      <x:c r="G140" s="17" t="n">
        <x:v>134200</x:v>
      </x:c>
      <x:c r="H140" s="17" t="n">
        <x:f>G140*F140</x:f>
        <x:v>86022.2</x:v>
      </x:c>
      <x:c r="I140" s="22" t="str">
        <x:f>HYPERLINK("https://etp-aktiv.ru/catalog/materialy/truby-stalnye-i-polimernye/2000546089-U112/","Открыть позицию")</x:f>
        <x:v>Открыть позицию</x:v>
      </x:c>
    </x:row>
    <x:row r="141" ht="28" customHeight="1">
      <x:c r="A141" s="16" t="str">
        <x:v>Беловская ГРЭС</x:v>
      </x:c>
      <x:c r="B141" s="16" t="str">
        <x:v>2000546092-U112</x:v>
      </x:c>
      <x:c r="C141" s="16" t="str">
        <x:v>ТРУБА КВД СТ20 16*2,5 ТУ14-3Р-55-01</x:v>
      </x:c>
      <x:c r="D141" s="16" t="str">
        <x:v>Трубы котельные высокого давления</x:v>
      </x:c>
      <x:c r="E141" s="16" t="str">
        <x:v>КГ</x:v>
      </x:c>
      <x:c r="F141" s="21" t="n">
        <x:v>12</x:v>
      </x:c>
      <x:c r="G141" s="17" t="n">
        <x:v>177.1684</x:v>
      </x:c>
      <x:c r="H141" s="17" t="n">
        <x:f>G141*F141</x:f>
        <x:v>2126.0208</x:v>
      </x:c>
      <x:c r="I141" s="22" t="str">
        <x:f>HYPERLINK("https://etp-aktiv.ru/catalog/materialy/truby-stalnye-i-polimernye/2000546092-U112/","Открыть позицию")</x:f>
        <x:v>Открыть позицию</x:v>
      </x:c>
    </x:row>
    <x:row r="142" ht="28" customHeight="1">
      <x:c r="A142" s="16" t="str">
        <x:v>Беловская ГРЭС</x:v>
      </x:c>
      <x:c r="B142" s="16" t="str">
        <x:v>2000546229-U112</x:v>
      </x:c>
      <x:c r="C142" s="16" t="str">
        <x:v>ТРУБА КВД СТ20 273*30 ТУ14-3Р-55-01</x:v>
      </x:c>
      <x:c r="D142" s="16" t="str">
        <x:v>Трубы котельные высокого давления</x:v>
      </x:c>
      <x:c r="E142" s="16" t="str">
        <x:v>Т</x:v>
      </x:c>
      <x:c r="F142" s="30" t="n">
        <x:v>0.01</x:v>
      </x:c>
      <x:c r="G142" s="17" t="n">
        <x:v>118017.61499999999</x:v>
      </x:c>
      <x:c r="H142" s="17" t="n">
        <x:f>G142*F142</x:f>
        <x:v>1180.17615</x:v>
      </x:c>
      <x:c r="I142" s="22" t="str">
        <x:f>HYPERLINK("https://etp-aktiv.ru/catalog/materialy/truby-stalnye-i-polimernye/2000546229-U112/","Открыть позицию")</x:f>
        <x:v>Открыть позицию</x:v>
      </x:c>
    </x:row>
    <x:row r="143" ht="28" customHeight="1">
      <x:c r="A143" s="16" t="str">
        <x:v>Беловская ГРЭС</x:v>
      </x:c>
      <x:c r="B143" s="16" t="str">
        <x:v>2000556295-U112</x:v>
      </x:c>
      <x:c r="C143" s="16" t="str">
        <x:v>ТРУБА МНЖ5-1 30*1*8100 ГОСТ17217-79</x:v>
      </x:c>
      <x:c r="D143" s="16" t="str">
        <x:v>Металлопрокат цветной</x:v>
      </x:c>
      <x:c r="E143" s="16" t="str">
        <x:v>КГ</x:v>
      </x:c>
      <x:c r="F143" s="21" t="n">
        <x:v>4804</x:v>
      </x:c>
      <x:c r="G143" s="17" t="n">
        <x:v>1220</x:v>
      </x:c>
      <x:c r="H143" s="17" t="n">
        <x:f>G143*F143</x:f>
        <x:v>5860880</x:v>
      </x:c>
      <x:c r="I143" s="22" t="str">
        <x:f>HYPERLINK("https://etp-aktiv.ru/catalog/materialy/metalloprodukciya/2000556295-U112/","Открыть позицию")</x:f>
        <x:v>Открыть позицию</x:v>
      </x:c>
    </x:row>
    <x:row r="144" ht="28" customHeight="1">
      <x:c r="A144" s="16" t="str">
        <x:v>Беловская ГРЭС</x:v>
      </x:c>
      <x:c r="B144" s="16" t="str">
        <x:v>2000142990-U112</x:v>
      </x:c>
      <x:c r="C144" s="16" t="str">
        <x:v>ТРУБА СТ10ПС 20*2,8 ГОСТ3262-75</x:v>
      </x:c>
      <x:c r="D144" s="16" t="str">
        <x:v>Трубы черные сварные малого и среднего диаметра</x:v>
      </x:c>
      <x:c r="E144" s="16" t="str">
        <x:v>Т</x:v>
      </x:c>
      <x:c r="F144" s="30" t="n">
        <x:v>0.231</x:v>
      </x:c>
      <x:c r="G144" s="17" t="n">
        <x:v>43500.002799999995</x:v>
      </x:c>
      <x:c r="H144" s="17" t="n">
        <x:f>G144*F144</x:f>
        <x:v>10048.5006468</x:v>
      </x:c>
      <x:c r="I144" s="22" t="str">
        <x:f>HYPERLINK("https://etp-aktiv.ru/catalog/materialy/truby-stalnye-i-polimernye/2000142990-U112/","Открыть позицию")</x:f>
        <x:v>Открыть позицию</x:v>
      </x:c>
    </x:row>
    <x:row r="145" ht="28" customHeight="1">
      <x:c r="A145" s="16" t="str">
        <x:v>Беловская ГРЭС</x:v>
      </x:c>
      <x:c r="B145" s="16" t="str">
        <x:v>2000161512-U112</x:v>
      </x:c>
      <x:c r="C145" s="16" t="str">
        <x:v>ТРУБА СТ17Г1С 820*9 ГОСТ20295-85</x:v>
      </x:c>
      <x:c r="D145" s="16" t="str">
        <x:v>Трубы черные сварные большого диаметра</x:v>
      </x:c>
      <x:c r="E145" s="16" t="str">
        <x:v>Т</x:v>
      </x:c>
      <x:c r="F145" s="29" t="n">
        <x:v>8.483</x:v>
      </x:c>
      <x:c r="G145" s="17" t="n">
        <x:v>73200</x:v>
      </x:c>
      <x:c r="H145" s="17" t="n">
        <x:f>G145*F145</x:f>
        <x:v>620955.6000000001</x:v>
      </x:c>
      <x:c r="I145" s="22" t="str">
        <x:f>HYPERLINK("https://etp-aktiv.ru/catalog/materialy/truby-stalnye-i-polimernye/2000161512-U112/","Открыть позицию")</x:f>
        <x:v>Открыть позицию</x:v>
      </x:c>
    </x:row>
    <x:row r="146" ht="28" customHeight="1">
      <x:c r="A146" s="16" t="str">
        <x:v>Беловская ГРЭС</x:v>
      </x:c>
      <x:c r="B146" s="16" t="str">
        <x:v>2000566566-U112</x:v>
      </x:c>
      <x:c r="C146" s="16" t="str">
        <x:v>ТРУБА СТ20 20*2,5 ГОСТ8733-74</x:v>
      </x:c>
      <x:c r="D146" s="16" t="str">
        <x:v>Трубы черные бесшовные</x:v>
      </x:c>
      <x:c r="E146" s="16" t="str">
        <x:v>Т</x:v>
      </x:c>
      <x:c r="F146" s="30" t="n">
        <x:v>0.05</x:v>
      </x:c>
      <x:c r="G146" s="17" t="n">
        <x:v>174289.383</x:v>
      </x:c>
      <x:c r="H146" s="17" t="n">
        <x:f>G146*F146</x:f>
        <x:v>8714.46915</x:v>
      </x:c>
      <x:c r="I146" s="22" t="str">
        <x:f>HYPERLINK("https://etp-aktiv.ru/catalog/materialy/truby-stalnye-i-polimernye/2000566566-U112/","Открыть позицию")</x:f>
        <x:v>Открыть позицию</x:v>
      </x:c>
    </x:row>
    <x:row r="147" ht="28" customHeight="1">
      <x:c r="A147" s="16" t="str">
        <x:v>Беловская ГРЭС</x:v>
      </x:c>
      <x:c r="B147" s="16" t="str">
        <x:v>2000557806-U112</x:v>
      </x:c>
      <x:c r="C147" s="16" t="str">
        <x:v>ТРУБА СТ20 22*3 ГОСТ8731-74</x:v>
      </x:c>
      <x:c r="D147" s="16" t="str">
        <x:v>Трубы черные бесшовные</x:v>
      </x:c>
      <x:c r="E147" s="16" t="str">
        <x:v>Т</x:v>
      </x:c>
      <x:c r="F147" s="30" t="n">
        <x:v>0.094</x:v>
      </x:c>
      <x:c r="G147" s="17" t="n">
        <x:v>111356.3784</x:v>
      </x:c>
      <x:c r="H147" s="17" t="n">
        <x:f>G147*F147</x:f>
        <x:v>10467.4995696</x:v>
      </x:c>
      <x:c r="I147" s="22" t="str">
        <x:f>HYPERLINK("https://etp-aktiv.ru/catalog/materialy/truby-stalnye-i-polimernye/2000557806-U112/","Открыть позицию")</x:f>
        <x:v>Открыть позицию</x:v>
      </x:c>
    </x:row>
    <x:row r="148" ht="28" customHeight="1">
      <x:c r="A148" s="16" t="str">
        <x:v>Беловская ГРЭС</x:v>
      </x:c>
      <x:c r="B148" s="16" t="str">
        <x:v>2000560183-U112</x:v>
      </x:c>
      <x:c r="C148" s="16" t="str">
        <x:v>ТРУБА СТ20 22*4 ГОСТ8733-74</x:v>
      </x:c>
      <x:c r="D148" s="16" t="str">
        <x:v>Трубы черные бесшовные</x:v>
      </x:c>
      <x:c r="E148" s="16" t="str">
        <x:v>Т</x:v>
      </x:c>
      <x:c r="F148" s="30" t="n">
        <x:v>0.224</x:v>
      </x:c>
      <x:c r="G148" s="17" t="n">
        <x:v>141096.965</x:v>
      </x:c>
      <x:c r="H148" s="17" t="n">
        <x:f>G148*F148</x:f>
        <x:v>31605.72016</x:v>
      </x:c>
      <x:c r="I148" s="22" t="str">
        <x:f>HYPERLINK("https://etp-aktiv.ru/catalog/materialy/truby-stalnye-i-polimernye/2000560183-U112/","Открыть позицию")</x:f>
        <x:v>Открыть позицию</x:v>
      </x:c>
    </x:row>
    <x:row r="149" ht="28" customHeight="1">
      <x:c r="A149" s="16" t="str">
        <x:v>Беловская ГРЭС</x:v>
      </x:c>
      <x:c r="B149" s="16" t="str">
        <x:v>2000566574-U112</x:v>
      </x:c>
      <x:c r="C149" s="16" t="str">
        <x:v>ТРУБА СТ20 377*18 ГОСТ10705-80</x:v>
      </x:c>
      <x:c r="D149" s="16" t="str">
        <x:v>Трубы черные сварные малого и среднего диаметра</x:v>
      </x:c>
      <x:c r="E149" s="16" t="str">
        <x:v>Т</x:v>
      </x:c>
      <x:c r="F149" s="29" t="n">
        <x:v>1.34</x:v>
      </x:c>
      <x:c r="G149" s="17" t="n">
        <x:v>82052.625</x:v>
      </x:c>
      <x:c r="H149" s="17" t="n">
        <x:f>G149*F149</x:f>
        <x:v>109950.5175</x:v>
      </x:c>
      <x:c r="I149" s="22" t="str">
        <x:f>HYPERLINK("https://etp-aktiv.ru/catalog/materialy/truby-stalnye-i-polimernye/2000566574-U112/","Открыть позицию")</x:f>
        <x:v>Открыть позицию</x:v>
      </x:c>
    </x:row>
    <x:row r="150" ht="28" customHeight="1">
      <x:c r="A150" s="16" t="str">
        <x:v>Беловская ГРЭС</x:v>
      </x:c>
      <x:c r="B150" s="16" t="str">
        <x:v>2000456493-U112</x:v>
      </x:c>
      <x:c r="C150" s="16" t="str">
        <x:v>ТРУБКА СИЛИКОНОВАЯ 8*1,5ММ ТУ9398-152-00</x:v>
      </x:c>
      <x:c r="D150" s="16" t="str">
        <x:v>Химическая посуда</x:v>
      </x:c>
      <x:c r="E150" s="16" t="str">
        <x:v>М</x:v>
      </x:c>
      <x:c r="F150" s="30" t="n">
        <x:v>0.2</x:v>
      </x:c>
      <x:c r="G150" s="17" t="n">
        <x:v>224.17499999999998</x:v>
      </x:c>
      <x:c r="H150" s="17" t="n">
        <x:f>G150*F150</x:f>
        <x:v>44.835</x:v>
      </x:c>
      <x:c r="I150" s="22" t="str">
        <x:f>HYPERLINK("https://etp-aktiv.ru/catalog/materialy/mebel-i-bytovaya-tekhnika/2000456493-U112/","Открыть позицию")</x:f>
        <x:v>Открыть позицию</x:v>
      </x:c>
    </x:row>
    <x:row r="151" ht="28" customHeight="1">
      <x:c r="A151" s="16" t="str">
        <x:v>Беловская ГРЭС</x:v>
      </x:c>
      <x:c r="B151" s="16" t="str">
        <x:v>2000244395-U112</x:v>
      </x:c>
      <x:c r="C151" s="16" t="str">
        <x:v>ТРУБКА СИЛИКОНОВАЯ 9*1,5</x:v>
      </x:c>
      <x:c r="D151" s="16" t="str">
        <x:v>Резино-технические изделия прочие</x:v>
      </x:c>
      <x:c r="E151" s="16" t="str">
        <x:v>М</x:v>
      </x:c>
      <x:c r="F151" s="21" t="n">
        <x:v>1</x:v>
      </x:c>
      <x:c r="G151" s="17" t="n">
        <x:v>117.82759999999999</x:v>
      </x:c>
      <x:c r="H151" s="17" t="n">
        <x:f>G151*F151</x:f>
        <x:v>117.82759999999999</x:v>
      </x:c>
      <x:c r="I151" s="22" t="str">
        <x:f>HYPERLINK("https://etp-aktiv.ru/catalog/materialy/rezino-tekhnicheskie-izdeliya/2000244395-U112/","Открыть позицию")</x:f>
        <x:v>Открыть позицию</x:v>
      </x:c>
    </x:row>
    <x:row r="152" ht="28" customHeight="1">
      <x:c r="A152" s="16" t="str">
        <x:v>Беловская ГРЭС</x:v>
      </x:c>
      <x:c r="B152" s="16" t="str">
        <x:v>2000777369-U112</x:v>
      </x:c>
      <x:c r="C152" s="16" t="str">
        <x:v>ТЯГА 2-121 ОСТ34-10-729-93</x:v>
      </x:c>
      <x:c r="D152" s="16" t="str">
        <x:v>Система опорно-подвесная</x:v>
      </x:c>
      <x:c r="E152" s="16" t="str">
        <x:v>ШТ</x:v>
      </x:c>
      <x:c r="F152" s="21" t="n">
        <x:v>1</x:v>
      </x:c>
      <x:c r="G152" s="17" t="n">
        <x:v>550.1468</x:v>
      </x:c>
      <x:c r="H152" s="17" t="n">
        <x:f>G152*F152</x:f>
        <x:v>550.1468</x:v>
      </x:c>
      <x:c r="I152" s="22" t="str">
        <x:f>HYPERLINK("https://etp-aktiv.ru/catalog/materialy/truboprovody/2000777369-U112/","Открыть позицию")</x:f>
        <x:v>Открыть позицию</x:v>
      </x:c>
    </x:row>
    <x:row r="153" ht="28" customHeight="1">
      <x:c r="A153" s="16" t="str">
        <x:v>Беловская ГРЭС</x:v>
      </x:c>
      <x:c r="B153" s="16" t="str">
        <x:v>2000749385-U112</x:v>
      </x:c>
      <x:c r="C153" s="16" t="str">
        <x:v>ТЯГА 2-64 ОСТ34-10-729-93</x:v>
      </x:c>
      <x:c r="D153" s="16" t="str">
        <x:v>Система опорно-подвесная</x:v>
      </x:c>
      <x:c r="E153" s="16" t="str">
        <x:v>ШТ</x:v>
      </x:c>
      <x:c r="F153" s="21" t="n">
        <x:v>2</x:v>
      </x:c>
      <x:c r="G153" s="17" t="n">
        <x:v>1073.295</x:v>
      </x:c>
      <x:c r="H153" s="17" t="n">
        <x:f>G153*F153</x:f>
        <x:v>2146.59</x:v>
      </x:c>
      <x:c r="I153" s="22" t="str">
        <x:f>HYPERLINK("https://etp-aktiv.ru/catalog/materialy/truboprovody/2000749385-U112/","Открыть позицию")</x:f>
        <x:v>Открыть позицию</x:v>
      </x:c>
    </x:row>
    <x:row r="154" ht="28" customHeight="1">
      <x:c r="A154" s="16" t="str">
        <x:v>Беловская ГРЭС</x:v>
      </x:c>
      <x:c r="B154" s="16" t="str">
        <x:v>2000553389-U112</x:v>
      </x:c>
      <x:c r="C154" s="16" t="str">
        <x:v>ТЯГА СТ20 2-94 ОСТ34-10-729-93</x:v>
      </x:c>
      <x:c r="D154" s="16" t="str">
        <x:v>Система опорно-подвесная</x:v>
      </x:c>
      <x:c r="E154" s="16" t="str">
        <x:v>ШТ</x:v>
      </x:c>
      <x:c r="F154" s="21" t="n">
        <x:v>1</x:v>
      </x:c>
      <x:c r="G154" s="17" t="n">
        <x:v>757.925</x:v>
      </x:c>
      <x:c r="H154" s="17" t="n">
        <x:f>G154*F154</x:f>
        <x:v>757.925</x:v>
      </x:c>
      <x:c r="I154" s="22" t="str">
        <x:f>HYPERLINK("https://etp-aktiv.ru/catalog/materialy/truboprovody/2000553389-U112/","Открыть позицию")</x:f>
        <x:v>Открыть позицию</x:v>
      </x:c>
    </x:row>
    <x:row r="155" ht="28" customHeight="1">
      <x:c r="A155" s="16" t="str">
        <x:v>Беловская ГРЭС</x:v>
      </x:c>
      <x:c r="B155" s="16" t="str">
        <x:v>2000553432-U112</x:v>
      </x:c>
      <x:c r="C155" s="16" t="str">
        <x:v>УШКО 1-01 ОСТ34.10.729-93</x:v>
      </x:c>
      <x:c r="D155" s="16" t="str">
        <x:v>Система опорно-подвесная</x:v>
      </x:c>
      <x:c r="E155" s="16" t="str">
        <x:v>ШТ</x:v>
      </x:c>
      <x:c r="F155" s="21" t="n">
        <x:v>30</x:v>
      </x:c>
      <x:c r="G155" s="17" t="n">
        <x:v>34.769999999999996</x:v>
      </x:c>
      <x:c r="H155" s="17" t="n">
        <x:f>G155*F155</x:f>
        <x:v>1043.1</x:v>
      </x:c>
      <x:c r="I155" s="22" t="str">
        <x:f>HYPERLINK("https://etp-aktiv.ru/catalog/materialy/truboprovody/2000553432-U112/","Открыть позицию")</x:f>
        <x:v>Открыть позицию</x:v>
      </x:c>
    </x:row>
    <x:row r="156" ht="28" customHeight="1">
      <x:c r="A156" s="16" t="str">
        <x:v>Беловская ГРЭС</x:v>
      </x:c>
      <x:c r="B156" s="16" t="str">
        <x:v>2000553433-U112</x:v>
      </x:c>
      <x:c r="C156" s="16" t="str">
        <x:v>УШКО 1-02 ОСТ34.10.729-93</x:v>
      </x:c>
      <x:c r="D156" s="16" t="str">
        <x:v>Система опорно-подвесная</x:v>
      </x:c>
      <x:c r="E156" s="16" t="str">
        <x:v>ШТ</x:v>
      </x:c>
      <x:c r="F156" s="21" t="n">
        <x:v>15</x:v>
      </x:c>
      <x:c r="G156" s="17" t="n">
        <x:v>74.725</x:v>
      </x:c>
      <x:c r="H156" s="17" t="n">
        <x:f>G156*F156</x:f>
        <x:v>1120.875</x:v>
      </x:c>
      <x:c r="I156" s="22" t="str">
        <x:f>HYPERLINK("https://etp-aktiv.ru/catalog/materialy/truboprovody/2000553433-U112/","Открыть позицию")</x:f>
        <x:v>Открыть позицию</x:v>
      </x:c>
    </x:row>
    <x:row r="157" ht="28" customHeight="1">
      <x:c r="A157" s="16" t="str">
        <x:v>Беловская ГРЭС</x:v>
      </x:c>
      <x:c r="B157" s="16" t="str">
        <x:v>2000553434-U112</x:v>
      </x:c>
      <x:c r="C157" s="16" t="str">
        <x:v>УШКО 1-03 ОСТ34.10.729-93</x:v>
      </x:c>
      <x:c r="D157" s="16" t="str">
        <x:v>Система опорно-подвесная</x:v>
      </x:c>
      <x:c r="E157" s="16" t="str">
        <x:v>ШТ</x:v>
      </x:c>
      <x:c r="F157" s="21" t="n">
        <x:v>10</x:v>
      </x:c>
      <x:c r="G157" s="17" t="n">
        <x:v>186.8186</x:v>
      </x:c>
      <x:c r="H157" s="17" t="n">
        <x:f>G157*F157</x:f>
        <x:v>1868.1860000000001</x:v>
      </x:c>
      <x:c r="I157" s="22" t="str">
        <x:f>HYPERLINK("https://etp-aktiv.ru/catalog/materialy/truboprovody/2000553434-U112/","Открыть позицию")</x:f>
        <x:v>Открыть позицию</x:v>
      </x:c>
    </x:row>
    <x:row r="158" ht="28" customHeight="1">
      <x:c r="A158" s="16" t="str">
        <x:v>Беловская ГРЭС</x:v>
      </x:c>
      <x:c r="B158" s="16" t="str">
        <x:v>2000553435-U112</x:v>
      </x:c>
      <x:c r="C158" s="16" t="str">
        <x:v>УШКО 1-04 ОСТ34.10.729-93</x:v>
      </x:c>
      <x:c r="D158" s="16" t="str">
        <x:v>Система опорно-подвесная</x:v>
      </x:c>
      <x:c r="E158" s="16" t="str">
        <x:v>ШТ</x:v>
      </x:c>
      <x:c r="F158" s="21" t="n">
        <x:v>6</x:v>
      </x:c>
      <x:c r="G158" s="17" t="n">
        <x:v>283.8696</x:v>
      </x:c>
      <x:c r="H158" s="17" t="n">
        <x:f>G158*F158</x:f>
        <x:v>1703.2176</x:v>
      </x:c>
      <x:c r="I158" s="22" t="str">
        <x:f>HYPERLINK("https://etp-aktiv.ru/catalog/materialy/truboprovody/2000553435-U112/","Открыть позицию")</x:f>
        <x:v>Открыть позицию</x:v>
      </x:c>
    </x:row>
    <x:row r="159" ht="28" customHeight="1">
      <x:c r="A159" s="16" t="str">
        <x:v>Беловская ГРЭС</x:v>
      </x:c>
      <x:c r="B159" s="16" t="str">
        <x:v>2000553436-U112</x:v>
      </x:c>
      <x:c r="C159" s="16" t="str">
        <x:v>УШКО СТ20 1-05 ОСТ34.10.729-93</x:v>
      </x:c>
      <x:c r="D159" s="16" t="str">
        <x:v>Система опорно-подвесная</x:v>
      </x:c>
      <x:c r="E159" s="16" t="str">
        <x:v>ШТ</x:v>
      </x:c>
      <x:c r="F159" s="21" t="n">
        <x:v>2</x:v>
      </x:c>
      <x:c r="G159" s="17" t="n">
        <x:v>832.65</x:v>
      </x:c>
      <x:c r="H159" s="17" t="n">
        <x:f>G159*F159</x:f>
        <x:v>1665.3</x:v>
      </x:c>
      <x:c r="I159" s="22" t="str">
        <x:f>HYPERLINK("https://etp-aktiv.ru/catalog/materialy/truboprovody/2000553436-U112/","Открыть позицию")</x:f>
        <x:v>Открыть позицию</x:v>
      </x:c>
    </x:row>
    <x:row r="160" ht="28" customHeight="1">
      <x:c r="A160" s="16" t="str">
        <x:v>Беловская ГРЭС</x:v>
      </x:c>
      <x:c r="B160" s="16" t="str">
        <x:v>2000526782-U112</x:v>
      </x:c>
      <x:c r="C160" s="16" t="str">
        <x:v>ШПИНДЕЛЬ 588-10-6-01 КЛАПАНА 588-10</x:v>
      </x:c>
      <x:c r="D160" s="16" t="str">
        <x:v>Запасные части к трубопроводной арматуре</x:v>
      </x:c>
      <x:c r="E160" s="16" t="str">
        <x:v>ШТ</x:v>
      </x:c>
      <x:c r="F160" s="21" t="n">
        <x:v>7</x:v>
      </x:c>
      <x:c r="G160" s="17" t="n">
        <x:v>278.2088</x:v>
      </x:c>
      <x:c r="H160" s="17" t="n">
        <x:f>G160*F160</x:f>
        <x:v>1947.4616</x:v>
      </x:c>
      <x:c r="I160" s="22" t="str">
        <x:f>HYPERLINK("https://etp-aktiv.ru/catalog/materialy/truboprovodnaya-armatura-i-komplektuyushchie/2000526782-U112/","Открыть позицию")</x:f>
        <x:v>Открыть позицию</x:v>
      </x:c>
    </x:row>
    <x:row r="161" ht="28" customHeight="1">
      <x:c r="A161" s="16" t="str">
        <x:v>Беловская ГРЭС</x:v>
      </x:c>
      <x:c r="B161" s="16" t="str">
        <x:v>2000526644-U112</x:v>
      </x:c>
      <x:c r="C161" s="16" t="str">
        <x:v>ШТОК 588-10-3А КЛАПАНА 588-10</x:v>
      </x:c>
      <x:c r="D161" s="16" t="str">
        <x:v>Запасные части к трубопроводной арматуре</x:v>
      </x:c>
      <x:c r="E161" s="16" t="str">
        <x:v>ШТ</x:v>
      </x:c>
      <x:c r="F161" s="21" t="n">
        <x:v>48</x:v>
      </x:c>
      <x:c r="G161" s="17" t="n">
        <x:v>512.644</x:v>
      </x:c>
      <x:c r="H161" s="17" t="n">
        <x:f>G161*F161</x:f>
        <x:v>24606.912</x:v>
      </x:c>
      <x:c r="I161" s="22" t="str">
        <x:f>HYPERLINK("https://etp-aktiv.ru/catalog/materialy/truboprovodnaya-armatura-i-komplektuyushchie/2000526644-U112/","Открыть позицию")</x:f>
        <x:v>Открыть позицию</x:v>
      </x:c>
    </x:row>
    <x:row r="162" ht="28" customHeight="1">
      <x:c r="A162" s="16" t="str">
        <x:v>Беловская ГРЭС</x:v>
      </x:c>
      <x:c r="B162" s="16" t="str">
        <x:v>2000752165-U112</x:v>
      </x:c>
      <x:c r="C162" s="16" t="str">
        <x:v>ШТУЦЕР 09Г2С 108*4 150 118 ОСТ34-10-761</x:v>
      </x:c>
      <x:c r="D162" s="16" t="str">
        <x:v>Детали фасонные</x:v>
      </x:c>
      <x:c r="E162" s="16" t="str">
        <x:v>ШТ</x:v>
      </x:c>
      <x:c r="F162" s="21" t="n">
        <x:v>4</x:v>
      </x:c>
      <x:c r="G162" s="17" t="n">
        <x:v>768.6</x:v>
      </x:c>
      <x:c r="H162" s="17" t="n">
        <x:f>G162*F162</x:f>
        <x:v>3074.4</x:v>
      </x:c>
      <x:c r="I162" s="22" t="str">
        <x:f>HYPERLINK("https://etp-aktiv.ru/catalog/materialy/truboprovody/2000752165-U112/","Открыть позицию")</x:f>
        <x:v>Открыть позицию</x:v>
      </x:c>
    </x:row>
    <x:row r="163" ht="28" customHeight="1">
      <x:c r="A163" s="16" t="str">
        <x:v>Беловская ГРЭС</x:v>
      </x:c>
      <x:c r="B163" s="16" t="str">
        <x:v>2000263415-U112</x:v>
      </x:c>
      <x:c r="C163" s="16" t="str">
        <x:v>ШТУЦЕР 09Г2С 159*4,5 157 ОСТ34.10.761-97</x:v>
      </x:c>
      <x:c r="D163" s="16" t="str">
        <x:v>Детали фасонные</x:v>
      </x:c>
      <x:c r="E163" s="16" t="str">
        <x:v>ШТ</x:v>
      </x:c>
      <x:c r="F163" s="21" t="n">
        <x:v>1</x:v>
      </x:c>
      <x:c r="G163" s="17" t="n">
        <x:v>2740.4249999999997</x:v>
      </x:c>
      <x:c r="H163" s="17" t="n">
        <x:f>G163*F163</x:f>
        <x:v>2740.4249999999997</x:v>
      </x:c>
      <x:c r="I163" s="22" t="str">
        <x:f>HYPERLINK("https://etp-aktiv.ru/catalog/materialy/truboprovody/2000263415-U112/","Открыть позицию")</x:f>
        <x:v>Открыть позицию</x:v>
      </x:c>
    </x:row>
    <x:row r="164" ht="28" customHeight="1">
      <x:c r="A164" s="16" t="str">
        <x:v>Беловская ГРЭС</x:v>
      </x:c>
      <x:c r="B164" s="16" t="str">
        <x:v>2000568351-U112</x:v>
      </x:c>
      <x:c r="C164" s="16" t="str">
        <x:v>ШТУЦЕР 09Г2С 159*5-200 145 34 10.761</x:v>
      </x:c>
      <x:c r="D164" s="16" t="str">
        <x:v>Детали фасонные</x:v>
      </x:c>
      <x:c r="E164" s="16" t="str">
        <x:v>ШТ</x:v>
      </x:c>
      <x:c r="F164" s="21" t="n">
        <x:v>7</x:v>
      </x:c>
      <x:c r="G164" s="17" t="n">
        <x:v>2283.6814</x:v>
      </x:c>
      <x:c r="H164" s="17" t="n">
        <x:f>G164*F164</x:f>
        <x:v>15985.7698</x:v>
      </x:c>
      <x:c r="I164" s="22" t="str">
        <x:f>HYPERLINK("https://etp-aktiv.ru/catalog/materialy/truboprovody/2000568351-U112/","Открыть позицию")</x:f>
        <x:v>Открыть позицию</x:v>
      </x:c>
    </x:row>
    <x:row r="165" ht="28" customHeight="1">
      <x:c r="A165" s="16" t="str">
        <x:v>Беловская ГРЭС</x:v>
      </x:c>
      <x:c r="B165" s="16" t="str">
        <x:v>2000750341-U112</x:v>
      </x:c>
      <x:c r="C165" s="16" t="str">
        <x:v>ШТУЦЕР 09Г2С 18*2 50 012 ОСТ34-10-761</x:v>
      </x:c>
      <x:c r="D165" s="16" t="str">
        <x:v>Детали фасонные</x:v>
      </x:c>
      <x:c r="E165" s="16" t="str">
        <x:v>ШТ</x:v>
      </x:c>
      <x:c r="F165" s="21" t="n">
        <x:v>5</x:v>
      </x:c>
      <x:c r="G165" s="17" t="n">
        <x:v>240.4864</x:v>
      </x:c>
      <x:c r="H165" s="17" t="n">
        <x:f>G165*F165</x:f>
        <x:v>1202.432</x:v>
      </x:c>
      <x:c r="I165" s="22" t="str">
        <x:f>HYPERLINK("https://etp-aktiv.ru/catalog/materialy/truboprovody/2000750341-U112/","Открыть позицию")</x:f>
        <x:v>Открыть позицию</x:v>
      </x:c>
    </x:row>
    <x:row r="166" ht="28" customHeight="1">
      <x:c r="A166" s="16" t="str">
        <x:v>Беловская ГРЭС</x:v>
      </x:c>
      <x:c r="B166" s="16" t="str">
        <x:v>2000736867-U112</x:v>
      </x:c>
      <x:c r="C166" s="16" t="str">
        <x:v>ШТУЦЕР 09Г2С 18*2-300 014 ОСТ34.10.761</x:v>
      </x:c>
      <x:c r="D166" s="16" t="str">
        <x:v>Детали фасонные</x:v>
      </x:c>
      <x:c r="E166" s="16" t="str">
        <x:v>ШТ</x:v>
      </x:c>
      <x:c r="F166" s="21" t="n">
        <x:v>3</x:v>
      </x:c>
      <x:c r="G166" s="17" t="n">
        <x:v>590.0042</x:v>
      </x:c>
      <x:c r="H166" s="17" t="n">
        <x:f>G166*F166</x:f>
        <x:v>1770.0126</x:v>
      </x:c>
      <x:c r="I166" s="22" t="str">
        <x:f>HYPERLINK("https://etp-aktiv.ru/catalog/materialy/truboprovody/2000736867-U112/","Открыть позицию")</x:f>
        <x:v>Открыть позицию</x:v>
      </x:c>
    </x:row>
    <x:row r="167" ht="28" customHeight="1">
      <x:c r="A167" s="16" t="str">
        <x:v>Беловская ГРЭС</x:v>
      </x:c>
      <x:c r="B167" s="16" t="str">
        <x:v>2000752192-U112</x:v>
      </x:c>
      <x:c r="C167" s="16" t="str">
        <x:v>ШТУЦЕР 09Г2С 219*6 350 165 ОСТ34-10-761</x:v>
      </x:c>
      <x:c r="D167" s="16" t="str">
        <x:v>Детали фасонные</x:v>
      </x:c>
      <x:c r="E167" s="16" t="str">
        <x:v>ШТ</x:v>
      </x:c>
      <x:c r="F167" s="21" t="n">
        <x:v>1</x:v>
      </x:c>
      <x:c r="G167" s="17" t="n">
        <x:v>3568.5</x:v>
      </x:c>
      <x:c r="H167" s="17" t="n">
        <x:f>G167*F167</x:f>
        <x:v>3568.5</x:v>
      </x:c>
      <x:c r="I167" s="22" t="str">
        <x:f>HYPERLINK("https://etp-aktiv.ru/catalog/materialy/truboprovody/2000752192-U112/","Открыть позицию")</x:f>
        <x:v>Открыть позицию</x:v>
      </x:c>
    </x:row>
    <x:row r="168" ht="28" customHeight="1">
      <x:c r="A168" s="16" t="str">
        <x:v>Беловская ГРЭС</x:v>
      </x:c>
      <x:c r="B168" s="16" t="str">
        <x:v>2000748808-U112</x:v>
      </x:c>
      <x:c r="C168" s="16" t="str">
        <x:v>ШТУЦЕР 09Г2С 25*2 150 026 ОСТ34-10-761</x:v>
      </x:c>
      <x:c r="D168" s="16" t="str">
        <x:v>Детали фасонные</x:v>
      </x:c>
      <x:c r="E168" s="16" t="str">
        <x:v>ШТ</x:v>
      </x:c>
      <x:c r="F168" s="21" t="n">
        <x:v>2</x:v>
      </x:c>
      <x:c r="G168" s="17" t="n">
        <x:v>267.2044</x:v>
      </x:c>
      <x:c r="H168" s="17" t="n">
        <x:f>G168*F168</x:f>
        <x:v>534.4088</x:v>
      </x:c>
      <x:c r="I168" s="22" t="str">
        <x:f>HYPERLINK("https://etp-aktiv.ru/catalog/materialy/truboprovody/2000748808-U112/","Открыть позицию")</x:f>
        <x:v>Открыть позицию</x:v>
      </x:c>
    </x:row>
    <x:row r="169" ht="28" customHeight="1">
      <x:c r="A169" s="16" t="str">
        <x:v>Беловская ГРЭС</x:v>
      </x:c>
      <x:c r="B169" s="16" t="str">
        <x:v>2000748809-U112</x:v>
      </x:c>
      <x:c r="C169" s="16" t="str">
        <x:v>ШТУЦЕР 09Г2С 25*2 200 025 ОСТ34-10-761</x:v>
      </x:c>
      <x:c r="D169" s="16" t="str">
        <x:v>Детали фасонные</x:v>
      </x:c>
      <x:c r="E169" s="16" t="str">
        <x:v>ШТ</x:v>
      </x:c>
      <x:c r="F169" s="21" t="n">
        <x:v>3</x:v>
      </x:c>
      <x:c r="G169" s="17" t="n">
        <x:v>315.675</x:v>
      </x:c>
      <x:c r="H169" s="17" t="n">
        <x:f>G169*F169</x:f>
        <x:v>947.0250000000001</x:v>
      </x:c>
      <x:c r="I169" s="22" t="str">
        <x:f>HYPERLINK("https://etp-aktiv.ru/catalog/materialy/truboprovody/2000748809-U112/","Открыть позицию")</x:f>
        <x:v>Открыть позицию</x:v>
      </x:c>
    </x:row>
    <x:row r="170" ht="28" customHeight="1">
      <x:c r="A170" s="16" t="str">
        <x:v>Беловская ГРЭС</x:v>
      </x:c>
      <x:c r="B170" s="16" t="str">
        <x:v>2000750343-U112</x:v>
      </x:c>
      <x:c r="C170" s="16" t="str">
        <x:v>ШТУЦЕР 09Г2С 25*2 350 025 ОСТ34-10-761</x:v>
      </x:c>
      <x:c r="D170" s="16" t="str">
        <x:v>Детали фасонные</x:v>
      </x:c>
      <x:c r="E170" s="16" t="str">
        <x:v>ШТ</x:v>
      </x:c>
      <x:c r="F170" s="21" t="n">
        <x:v>4</x:v>
      </x:c>
      <x:c r="G170" s="17" t="n">
        <x:v>267.2044</x:v>
      </x:c>
      <x:c r="H170" s="17" t="n">
        <x:f>G170*F170</x:f>
        <x:v>1068.8176</x:v>
      </x:c>
      <x:c r="I170" s="22" t="str">
        <x:f>HYPERLINK("https://etp-aktiv.ru/catalog/materialy/truboprovody/2000750343-U112/","Открыть позицию")</x:f>
        <x:v>Открыть позицию</x:v>
      </x:c>
    </x:row>
    <x:row r="171" ht="28" customHeight="1">
      <x:c r="A171" s="16" t="str">
        <x:v>Беловская ГРЭС</x:v>
      </x:c>
      <x:c r="B171" s="16" t="str">
        <x:v>2000750404-U112</x:v>
      </x:c>
      <x:c r="C171" s="16" t="str">
        <x:v>ШТУЦЕР 09Г2С 25*2-150 025 ОСТ34-10-761</x:v>
      </x:c>
      <x:c r="D171" s="16" t="str">
        <x:v>Детали фасонные</x:v>
      </x:c>
      <x:c r="E171" s="16" t="str">
        <x:v>ШТ</x:v>
      </x:c>
      <x:c r="F171" s="21" t="n">
        <x:v>3</x:v>
      </x:c>
      <x:c r="G171" s="17" t="n">
        <x:v>267.2044</x:v>
      </x:c>
      <x:c r="H171" s="17" t="n">
        <x:f>G171*F171</x:f>
        <x:v>801.6132</x:v>
      </x:c>
      <x:c r="I171" s="22" t="str">
        <x:f>HYPERLINK("https://etp-aktiv.ru/catalog/materialy/truboprovody/2000750404-U112/","Открыть позицию")</x:f>
        <x:v>Открыть позицию</x:v>
      </x:c>
    </x:row>
    <x:row r="172" ht="28" customHeight="1">
      <x:c r="A172" s="16" t="str">
        <x:v>Беловская ГРЭС</x:v>
      </x:c>
      <x:c r="B172" s="16" t="str">
        <x:v>2000750403-U112</x:v>
      </x:c>
      <x:c r="C172" s="16" t="str">
        <x:v>ШТУЦЕР 09Г2С 25*2-250 025 ОСТ34-10-761</x:v>
      </x:c>
      <x:c r="D172" s="16" t="str">
        <x:v>Детали фасонные</x:v>
      </x:c>
      <x:c r="E172" s="16" t="str">
        <x:v>ШТ</x:v>
      </x:c>
      <x:c r="F172" s="21" t="n">
        <x:v>2</x:v>
      </x:c>
      <x:c r="G172" s="17" t="n">
        <x:v>267.2044</x:v>
      </x:c>
      <x:c r="H172" s="17" t="n">
        <x:f>G172*F172</x:f>
        <x:v>534.4088</x:v>
      </x:c>
      <x:c r="I172" s="22" t="str">
        <x:f>HYPERLINK("https://etp-aktiv.ru/catalog/materialy/truboprovody/2000750403-U112/","Открыть позицию")</x:f>
        <x:v>Открыть позицию</x:v>
      </x:c>
    </x:row>
    <x:row r="173" ht="28" customHeight="1">
      <x:c r="A173" s="16" t="str">
        <x:v>Беловская ГРЭС</x:v>
      </x:c>
      <x:c r="B173" s="16" t="str">
        <x:v>2000736914-U112</x:v>
      </x:c>
      <x:c r="C173" s="16" t="str">
        <x:v>ШТУЦЕР 09Г2С 25*2-300 026 ОСТ34.10.761</x:v>
      </x:c>
      <x:c r="D173" s="16" t="str">
        <x:v>Детали фасонные</x:v>
      </x:c>
      <x:c r="E173" s="16" t="str">
        <x:v>ШТ</x:v>
      </x:c>
      <x:c r="F173" s="21" t="n">
        <x:v>14</x:v>
      </x:c>
      <x:c r="G173" s="17" t="n">
        <x:v>267.2044</x:v>
      </x:c>
      <x:c r="H173" s="17" t="n">
        <x:f>G173*F173</x:f>
        <x:v>3740.8616</x:v>
      </x:c>
      <x:c r="I173" s="22" t="str">
        <x:f>HYPERLINK("https://etp-aktiv.ru/catalog/materialy/truboprovody/2000736914-U112/","Открыть позицию")</x:f>
        <x:v>Открыть позицию</x:v>
      </x:c>
    </x:row>
    <x:row r="174" ht="28" customHeight="1">
      <x:c r="A174" s="16" t="str">
        <x:v>Беловская ГРЭС</x:v>
      </x:c>
      <x:c r="B174" s="16" t="str">
        <x:v>2000750620-U112</x:v>
      </x:c>
      <x:c r="C174" s="16" t="str">
        <x:v>ШТУЦЕР 09Г2С 25*2-500 027 ОСТ34-10-761</x:v>
      </x:c>
      <x:c r="D174" s="16" t="str">
        <x:v>Детали фасонные</x:v>
      </x:c>
      <x:c r="E174" s="16" t="str">
        <x:v>ШТ</x:v>
      </x:c>
      <x:c r="F174" s="21" t="n">
        <x:v>2</x:v>
      </x:c>
      <x:c r="G174" s="17" t="n">
        <x:v>267.2044</x:v>
      </x:c>
      <x:c r="H174" s="17" t="n">
        <x:f>G174*F174</x:f>
        <x:v>534.4088</x:v>
      </x:c>
      <x:c r="I174" s="22" t="str">
        <x:f>HYPERLINK("https://etp-aktiv.ru/catalog/materialy/truboprovody/2000750620-U112/","Открыть позицию")</x:f>
        <x:v>Открыть позицию</x:v>
      </x:c>
    </x:row>
    <x:row r="175" ht="28" customHeight="1">
      <x:c r="A175" s="16" t="str">
        <x:v>Беловская ГРЭС</x:v>
      </x:c>
      <x:c r="B175" s="16" t="str">
        <x:v>2000750621-U112</x:v>
      </x:c>
      <x:c r="C175" s="16" t="str">
        <x:v>ШТУЦЕР 09Г2С 25*2-600 027 ОСТ34-10-761</x:v>
      </x:c>
      <x:c r="D175" s="16" t="str">
        <x:v>Детали фасонные</x:v>
      </x:c>
      <x:c r="E175" s="16" t="str">
        <x:v>ШТ</x:v>
      </x:c>
      <x:c r="F175" s="21" t="n">
        <x:v>4</x:v>
      </x:c>
      <x:c r="G175" s="17" t="n">
        <x:v>267.2044</x:v>
      </x:c>
      <x:c r="H175" s="17" t="n">
        <x:f>G175*F175</x:f>
        <x:v>1068.8176</x:v>
      </x:c>
      <x:c r="I175" s="22" t="str">
        <x:f>HYPERLINK("https://etp-aktiv.ru/catalog/materialy/truboprovody/2000750621-U112/","Открыть позицию")</x:f>
        <x:v>Открыть позицию</x:v>
      </x:c>
    </x:row>
    <x:row r="176" ht="28" customHeight="1">
      <x:c r="A176" s="16" t="str">
        <x:v>Беловская ГРЭС</x:v>
      </x:c>
      <x:c r="B176" s="16" t="str">
        <x:v>2000752195-U112</x:v>
      </x:c>
      <x:c r="C176" s="16" t="str">
        <x:v>ШТУЦЕР 09Г2С 273*6 500 180 ОСТ34-10-761</x:v>
      </x:c>
      <x:c r="D176" s="16" t="str">
        <x:v>Детали фасонные</x:v>
      </x:c>
      <x:c r="E176" s="16" t="str">
        <x:v>ШТ</x:v>
      </x:c>
      <x:c r="F176" s="21" t="n">
        <x:v>1</x:v>
      </x:c>
      <x:c r="G176" s="17" t="n">
        <x:v>4570.425</x:v>
      </x:c>
      <x:c r="H176" s="17" t="n">
        <x:f>G176*F176</x:f>
        <x:v>4570.425</x:v>
      </x:c>
      <x:c r="I176" s="22" t="str">
        <x:f>HYPERLINK("https://etp-aktiv.ru/catalog/materialy/truboprovody/2000752195-U112/","Открыть позицию")</x:f>
        <x:v>Открыть позицию</x:v>
      </x:c>
    </x:row>
    <x:row r="177" ht="28" customHeight="1">
      <x:c r="A177" s="16" t="str">
        <x:v>Беловская ГРЭС</x:v>
      </x:c>
      <x:c r="B177" s="16" t="str">
        <x:v>2000771911-U112</x:v>
      </x:c>
      <x:c r="C177" s="16" t="str">
        <x:v>ШТУЦЕР 09Г2С 32*2 25 030 ОСТ34-10-761-97</x:v>
      </x:c>
      <x:c r="D177" s="16" t="str">
        <x:v>Детали фасонные</x:v>
      </x:c>
      <x:c r="E177" s="16" t="str">
        <x:v>ШТ</x:v>
      </x:c>
      <x:c r="F177" s="21" t="n">
        <x:v>18</x:v>
      </x:c>
      <x:c r="G177" s="17" t="n">
        <x:v>333.02340000000004</x:v>
      </x:c>
      <x:c r="H177" s="17" t="n">
        <x:f>G177*F177</x:f>
        <x:v>5994.421200000001</x:v>
      </x:c>
      <x:c r="I177" s="22" t="str">
        <x:f>HYPERLINK("https://etp-aktiv.ru/catalog/materialy/truboprovody/2000771911-U112/","Открыть позицию")</x:f>
        <x:v>Открыть позицию</x:v>
      </x:c>
    </x:row>
    <x:row r="178" ht="28" customHeight="1">
      <x:c r="A178" s="16" t="str">
        <x:v>Беловская ГРЭС</x:v>
      </x:c>
      <x:c r="B178" s="16" t="str">
        <x:v>2000771910-U112</x:v>
      </x:c>
      <x:c r="C178" s="16" t="str">
        <x:v>ШТУЦЕР 09Г2С 32*2 350 44 ОСТ34-10-761-97</x:v>
      </x:c>
      <x:c r="D178" s="16" t="str">
        <x:v>Детали фасонные</x:v>
      </x:c>
      <x:c r="E178" s="16" t="str">
        <x:v>ШТ</x:v>
      </x:c>
      <x:c r="F178" s="21" t="n">
        <x:v>1</x:v>
      </x:c>
      <x:c r="G178" s="17" t="n">
        <x:v>320.65259999999995</x:v>
      </x:c>
      <x:c r="H178" s="17" t="n">
        <x:f>G178*F178</x:f>
        <x:v>320.65259999999995</x:v>
      </x:c>
      <x:c r="I178" s="22" t="str">
        <x:f>HYPERLINK("https://etp-aktiv.ru/catalog/materialy/truboprovody/2000771910-U112/","Открыть позицию")</x:f>
        <x:v>Открыть позицию</x:v>
      </x:c>
    </x:row>
    <x:row r="179" ht="28" customHeight="1">
      <x:c r="A179" s="16" t="str">
        <x:v>Беловская ГРЭС</x:v>
      </x:c>
      <x:c r="B179" s="16" t="str">
        <x:v>2000750625-U112</x:v>
      </x:c>
      <x:c r="C179" s="16" t="str">
        <x:v>ШТУЦЕР 09Г2С 32*2-500 044 ОСТ34-10-761</x:v>
      </x:c>
      <x:c r="D179" s="16" t="str">
        <x:v>Детали фасонные</x:v>
      </x:c>
      <x:c r="E179" s="16" t="str">
        <x:v>ШТ</x:v>
      </x:c>
      <x:c r="F179" s="21" t="n">
        <x:v>3</x:v>
      </x:c>
      <x:c r="G179" s="17" t="n">
        <x:v>320.65259999999995</x:v>
      </x:c>
      <x:c r="H179" s="17" t="n">
        <x:f>G179*F179</x:f>
        <x:v>961.9577999999999</x:v>
      </x:c>
      <x:c r="I179" s="22" t="str">
        <x:f>HYPERLINK("https://etp-aktiv.ru/catalog/materialy/truboprovody/2000750625-U112/","Открыть позицию")</x:f>
        <x:v>Открыть позицию</x:v>
      </x:c>
    </x:row>
    <x:row r="180" ht="28" customHeight="1">
      <x:c r="A180" s="16" t="str">
        <x:v>Беловская ГРЭС</x:v>
      </x:c>
      <x:c r="B180" s="16" t="str">
        <x:v>2000750627-U112</x:v>
      </x:c>
      <x:c r="C180" s="16" t="str">
        <x:v>ШТУЦЕР 09Г2С 32*2-800 044 ОСТ34-10-761</x:v>
      </x:c>
      <x:c r="D180" s="16" t="str">
        <x:v>Детали фасонные</x:v>
      </x:c>
      <x:c r="E180" s="16" t="str">
        <x:v>ШТ</x:v>
      </x:c>
      <x:c r="F180" s="21" t="n">
        <x:v>4</x:v>
      </x:c>
      <x:c r="G180" s="17" t="n">
        <x:v>320.65259999999995</x:v>
      </x:c>
      <x:c r="H180" s="17" t="n">
        <x:f>G180*F180</x:f>
        <x:v>1282.6103999999998</x:v>
      </x:c>
      <x:c r="I180" s="22" t="str">
        <x:f>HYPERLINK("https://etp-aktiv.ru/catalog/materialy/truboprovody/2000750627-U112/","Открыть позицию")</x:f>
        <x:v>Открыть позицию</x:v>
      </x:c>
    </x:row>
    <x:row r="181" ht="28" customHeight="1">
      <x:c r="A181" s="16" t="str">
        <x:v>Беловская ГРЭС</x:v>
      </x:c>
      <x:c r="B181" s="16" t="str">
        <x:v>2000751381-U112</x:v>
      </x:c>
      <x:c r="C181" s="16" t="str">
        <x:v>ШТУЦЕР 09Г2С 38*2-500 062 ОСТ34-10-761</x:v>
      </x:c>
      <x:c r="D181" s="16" t="str">
        <x:v>Детали фасонные</x:v>
      </x:c>
      <x:c r="E181" s="16" t="str">
        <x:v>ШТ</x:v>
      </x:c>
      <x:c r="F181" s="21" t="n">
        <x:v>4</x:v>
      </x:c>
      <x:c r="G181" s="17" t="n">
        <x:v>347.3706</x:v>
      </x:c>
      <x:c r="H181" s="17" t="n">
        <x:f>G181*F181</x:f>
        <x:v>1389.4824</x:v>
      </x:c>
      <x:c r="I181" s="22" t="str">
        <x:f>HYPERLINK("https://etp-aktiv.ru/catalog/materialy/truboprovody/2000751381-U112/","Открыть позицию")</x:f>
        <x:v>Открыть позицию</x:v>
      </x:c>
    </x:row>
    <x:row r="182" ht="28" customHeight="1">
      <x:c r="A182" s="16" t="str">
        <x:v>Беловская ГРЭС</x:v>
      </x:c>
      <x:c r="B182" s="16" t="str">
        <x:v>2000736919-U112</x:v>
      </x:c>
      <x:c r="C182" s="16" t="str">
        <x:v>ШТУЦЕР 09Г2С 57*4-400 080 ОСТ34.10.761</x:v>
      </x:c>
      <x:c r="D182" s="16" t="str">
        <x:v>Детали фасонные</x:v>
      </x:c>
      <x:c r="E182" s="16" t="str">
        <x:v>ШТ</x:v>
      </x:c>
      <x:c r="F182" s="21" t="n">
        <x:v>1</x:v>
      </x:c>
      <x:c r="G182" s="17" t="n">
        <x:v>464.36859999999996</x:v>
      </x:c>
      <x:c r="H182" s="17" t="n">
        <x:f>G182*F182</x:f>
        <x:v>464.36859999999996</x:v>
      </x:c>
      <x:c r="I182" s="22" t="str">
        <x:f>HYPERLINK("https://etp-aktiv.ru/catalog/materialy/truboprovody/2000736919-U112/","Открыть позицию")</x:f>
        <x:v>Открыть позицию</x:v>
      </x:c>
    </x:row>
    <x:row r="183" ht="28" customHeight="1">
      <x:c r="A183" s="16" t="str">
        <x:v>Беловская ГРЭС</x:v>
      </x:c>
      <x:c r="B183" s="16" t="str">
        <x:v>2000752161-U112</x:v>
      </x:c>
      <x:c r="C183" s="16" t="str">
        <x:v>ШТУЦЕР 09Г2С 76*3 65 90 ОСТ34-10-761-97</x:v>
      </x:c>
      <x:c r="D183" s="16" t="str">
        <x:v>Детали фасонные</x:v>
      </x:c>
      <x:c r="E183" s="16" t="str">
        <x:v>ШТ</x:v>
      </x:c>
      <x:c r="F183" s="21" t="n">
        <x:v>4</x:v>
      </x:c>
      <x:c r="G183" s="17" t="n">
        <x:v>590.0042</x:v>
      </x:c>
      <x:c r="H183" s="17" t="n">
        <x:f>G183*F183</x:f>
        <x:v>2360.0168</x:v>
      </x:c>
      <x:c r="I183" s="22" t="str">
        <x:f>HYPERLINK("https://etp-aktiv.ru/catalog/materialy/truboprovody/2000752161-U112/","Открыть позицию")</x:f>
        <x:v>Открыть позицию</x:v>
      </x:c>
    </x:row>
    <x:row r="184" ht="28" customHeight="1">
      <x:c r="A184" s="16" t="str">
        <x:v>Беловская ГРЭС</x:v>
      </x:c>
      <x:c r="B184" s="16" t="str">
        <x:v>2000782073-U112</x:v>
      </x:c>
      <x:c r="C184" s="16" t="str">
        <x:v>ШТУЦЕР СТ20 57*3 65 082 ОСТ34-10-761-97</x:v>
      </x:c>
      <x:c r="D184" s="16" t="str">
        <x:v>Детали фасонные</x:v>
      </x:c>
      <x:c r="E184" s="16" t="str">
        <x:v>ШТ</x:v>
      </x:c>
      <x:c r="F184" s="21" t="n">
        <x:v>2</x:v>
      </x:c>
      <x:c r="G184" s="17" t="n">
        <x:v>910.425</x:v>
      </x:c>
      <x:c r="H184" s="17" t="n">
        <x:f>G184*F184</x:f>
        <x:v>1820.85</x:v>
      </x:c>
      <x:c r="I184" s="22" t="str">
        <x:f>HYPERLINK("https://etp-aktiv.ru/catalog/materialy/truboprovody/2000782073-U112/","Открыть позицию")</x:f>
        <x:v>Открыть позицию</x:v>
      </x:c>
    </x:row>
    <x:row r="185" ht="28" customHeight="1">
      <x:c r="A185" s="16" t="str">
        <x:v>Беловская ГРЭС</x:v>
      </x:c>
      <x:c r="B185" s="16" t="str">
        <x:v>2000782074-U112</x:v>
      </x:c>
      <x:c r="C185" s="16" t="str">
        <x:v>ШТУЦЕР СТ20 57*3 80 082 ОСТ34-10-760-97</x:v>
      </x:c>
      <x:c r="D185" s="16" t="str">
        <x:v>Детали фасонные</x:v>
      </x:c>
      <x:c r="E185" s="16" t="str">
        <x:v>ШТ</x:v>
      </x:c>
      <x:c r="F185" s="21" t="n">
        <x:v>4</x:v>
      </x:c>
      <x:c r="G185" s="17" t="n">
        <x:v>910.425</x:v>
      </x:c>
      <x:c r="H185" s="17" t="n">
        <x:f>G185*F185</x:f>
        <x:v>3641.7</x:v>
      </x:c>
      <x:c r="I185" s="22" t="str">
        <x:f>HYPERLINK("https://etp-aktiv.ru/catalog/materialy/truboprovody/2000782074-U112/","Открыть позицию")</x:f>
        <x:v>Открыть позицию</x:v>
      </x:c>
    </x:row>
    <x:row r="186" ht="28" customHeight="1">
      <x:c r="A186" s="16" t="str">
        <x:v>Беловская ГРЭС</x:v>
      </x:c>
      <x:c r="B186" s="16" t="str">
        <x:v>2000555434-U112</x:v>
      </x:c>
      <x:c r="C186" s="16" t="str">
        <x:v>ШТУЦЕР СТ20 57*3-50 080 ОСТ34.10.761</x:v>
      </x:c>
      <x:c r="D186" s="16" t="str">
        <x:v>Детали фасонные</x:v>
      </x:c>
      <x:c r="E186" s="16" t="str">
        <x:v>ШТ</x:v>
      </x:c>
      <x:c r="F186" s="21" t="n">
        <x:v>2</x:v>
      </x:c>
      <x:c r="G186" s="17" t="n">
        <x:v>682.4313999999999</x:v>
      </x:c>
      <x:c r="H186" s="17" t="n">
        <x:f>G186*F186</x:f>
        <x:v>1364.8627999999999</x:v>
      </x:c>
      <x:c r="I186" s="22" t="str">
        <x:f>HYPERLINK("https://etp-aktiv.ru/catalog/materialy/truboprovody/2000555434-U112/","Открыть позицию")</x:f>
        <x:v>Открыть позицию</x:v>
      </x:c>
    </x:row>
    <x:row r="187" ht="28" customHeight="1">
      <x:c r="A187" s="16" t="str">
        <x:v>Кемеровская ГРЭС</x:v>
      </x:c>
      <x:c r="B187" s="16" t="str">
        <x:v>2000223873-U311</x:v>
      </x:c>
      <x:c r="C187" s="16" t="str">
        <x:v>БАЛКА ОПОРНАЯ 10 ОСТ34-10.737-93</x:v>
      </x:c>
      <x:c r="D187" s="16" t="str">
        <x:v>Система опорно-подвесная</x:v>
      </x:c>
      <x:c r="E187" s="16" t="str">
        <x:v>ШТ</x:v>
      </x:c>
      <x:c r="F187" s="21" t="n">
        <x:v>1</x:v>
      </x:c>
      <x:c r="G187" s="17" t="n">
        <x:v>977.8299999999999</x:v>
      </x:c>
      <x:c r="H187" s="17" t="n">
        <x:f>G187*F187</x:f>
        <x:v>977.8299999999999</x:v>
      </x:c>
      <x:c r="I187" s="22" t="str">
        <x:f>HYPERLINK("https://etp-aktiv.ru/catalog/materialy/truboprovody/2000223873-U311/","Открыть позицию")</x:f>
        <x:v>Открыть позицию</x:v>
      </x:c>
    </x:row>
    <x:row r="188" ht="28" customHeight="1">
      <x:c r="A188" s="16" t="str">
        <x:v>Кемеровская ГРЭС</x:v>
      </x:c>
      <x:c r="B188" s="16" t="str">
        <x:v>2000623012-U311</x:v>
      </x:c>
      <x:c r="C188" s="16" t="str">
        <x:v>БЛОК 05 ОСТ34-10-729-93</x:v>
      </x:c>
      <x:c r="D188" s="16" t="str">
        <x:v>Система опорно-подвесная</x:v>
      </x:c>
      <x:c r="E188" s="16" t="str">
        <x:v>ШТ</x:v>
      </x:c>
      <x:c r="F188" s="21" t="n">
        <x:v>3</x:v>
      </x:c>
      <x:c r="G188" s="17" t="n">
        <x:v>122.56119999999999</x:v>
      </x:c>
      <x:c r="H188" s="17" t="n">
        <x:f>G188*F188</x:f>
        <x:v>367.68359999999996</x:v>
      </x:c>
      <x:c r="I188" s="22" t="str">
        <x:f>HYPERLINK("https://etp-aktiv.ru/catalog/materialy/truboprovody/2000623012-U311/","Открыть позицию")</x:f>
        <x:v>Открыть позицию</x:v>
      </x:c>
    </x:row>
    <x:row r="189" ht="28" customHeight="1">
      <x:c r="A189" s="16" t="str">
        <x:v>Кемеровская ГРЭС</x:v>
      </x:c>
      <x:c r="B189" s="16" t="str">
        <x:v>2000552971-U311</x:v>
      </x:c>
      <x:c r="C189" s="16" t="str">
        <x:v>БЛОК 06 ОСТ34-10-729-93</x:v>
      </x:c>
      <x:c r="D189" s="16" t="str">
        <x:v>Система опорно-подвесная</x:v>
      </x:c>
      <x:c r="E189" s="16" t="str">
        <x:v>ШТ</x:v>
      </x:c>
      <x:c r="F189" s="21" t="n">
        <x:v>1</x:v>
      </x:c>
      <x:c r="G189" s="17" t="n">
        <x:v>269.9494</x:v>
      </x:c>
      <x:c r="H189" s="17" t="n">
        <x:f>G189*F189</x:f>
        <x:v>269.9494</x:v>
      </x:c>
      <x:c r="I189" s="22" t="str">
        <x:f>HYPERLINK("https://etp-aktiv.ru/catalog/materialy/truboprovody/2000552971-U311/","Открыть позицию")</x:f>
        <x:v>Открыть позицию</x:v>
      </x:c>
    </x:row>
    <x:row r="190" ht="28" customHeight="1">
      <x:c r="A190" s="16" t="str">
        <x:v>Кемеровская ГРЭС</x:v>
      </x:c>
      <x:c r="B190" s="16" t="str">
        <x:v>2000742589-U311</x:v>
      </x:c>
      <x:c r="C190" s="16" t="str">
        <x:v>БЛОК ПОДВЕСКИ 159У 91 ОСТ34-10-726-93</x:v>
      </x:c>
      <x:c r="D190" s="16" t="str">
        <x:v>Система опорно-подвесная</x:v>
      </x:c>
      <x:c r="E190" s="16" t="str">
        <x:v>ШТ</x:v>
      </x:c>
      <x:c r="F190" s="21" t="n">
        <x:v>2</x:v>
      </x:c>
      <x:c r="G190" s="17" t="n">
        <x:v>4277.6372</x:v>
      </x:c>
      <x:c r="H190" s="17" t="n">
        <x:f>G190*F190</x:f>
        <x:v>8555.2744</x:v>
      </x:c>
      <x:c r="I190" s="22" t="str">
        <x:f>HYPERLINK("https://etp-aktiv.ru/catalog/materialy/truboprovody/2000742589-U311/","Открыть позицию")</x:f>
        <x:v>Открыть позицию</x:v>
      </x:c>
    </x:row>
    <x:row r="191" ht="28" customHeight="1">
      <x:c r="A191" s="16" t="str">
        <x:v>Кемеровская ГРЭС</x:v>
      </x:c>
      <x:c r="B191" s="16" t="str">
        <x:v>2000245442-U311</x:v>
      </x:c>
      <x:c r="C191" s="16" t="str">
        <x:v>БЛОК ПРУЖИНН ОПОРН 18 ОСТ34.10.745-93СБ</x:v>
      </x:c>
      <x:c r="D191" s="16" t="str">
        <x:v>Система опорно-подвесная</x:v>
      </x:c>
      <x:c r="E191" s="16" t="str">
        <x:v>ШТ</x:v>
      </x:c>
      <x:c r="F191" s="21" t="n">
        <x:v>1</x:v>
      </x:c>
      <x:c r="G191" s="17" t="n">
        <x:v>7910.4922</x:v>
      </x:c>
      <x:c r="H191" s="17" t="n">
        <x:f>G191*F191</x:f>
        <x:v>7910.4922</x:v>
      </x:c>
      <x:c r="I191" s="22" t="str">
        <x:f>HYPERLINK("https://etp-aktiv.ru/catalog/materialy/truboprovody/2000245442-U311/","Открыть позицию")</x:f>
        <x:v>Открыть позицию</x:v>
      </x:c>
    </x:row>
    <x:row r="192" ht="28" customHeight="1">
      <x:c r="A192" s="16" t="str">
        <x:v>Кемеровская ГРЭС</x:v>
      </x:c>
      <x:c r="B192" s="16" t="str">
        <x:v>2000553017-U311</x:v>
      </x:c>
      <x:c r="C192" s="16" t="str">
        <x:v>БЛОК ПРУЖИННЫЙ 05 ОСТ108.275.60-80</x:v>
      </x:c>
      <x:c r="D192" s="16" t="str">
        <x:v>Система опорн-подвес</x:v>
      </x:c>
      <x:c r="E192" s="16" t="str">
        <x:v>ШТ</x:v>
      </x:c>
      <x:c r="F192" s="21" t="n">
        <x:v>2</x:v>
      </x:c>
      <x:c r="G192" s="17" t="n">
        <x:v>941.6081999999999</x:v>
      </x:c>
      <x:c r="H192" s="17" t="n">
        <x:f>G192*F192</x:f>
        <x:v>1883.2163999999998</x:v>
      </x:c>
      <x:c r="I192" s="22" t="str">
        <x:f>HYPERLINK("https://etp-aktiv.ru/catalog/materialy/truboprovody/2000553017-U311/","Открыть позицию")</x:f>
        <x:v>Открыть позицию</x:v>
      </x:c>
    </x:row>
    <x:row r="193" ht="28" customHeight="1">
      <x:c r="A193" s="16" t="str">
        <x:v>Кемеровская ГРЭС</x:v>
      </x:c>
      <x:c r="B193" s="16" t="str">
        <x:v>2000553021-U311</x:v>
      </x:c>
      <x:c r="C193" s="16" t="str">
        <x:v>БЛОК ПРУЖИННЫЙ 06 ОСТ34-10-612-93</x:v>
      </x:c>
      <x:c r="D193" s="16" t="str">
        <x:v>Система опорно-подвесная</x:v>
      </x:c>
      <x:c r="E193" s="16" t="str">
        <x:v>ШТ</x:v>
      </x:c>
      <x:c r="F193" s="21" t="n">
        <x:v>1</x:v>
      </x:c>
      <x:c r="G193" s="17" t="n">
        <x:v>1235.9454</x:v>
      </x:c>
      <x:c r="H193" s="17" t="n">
        <x:f>G193*F193</x:f>
        <x:v>1235.9454</x:v>
      </x:c>
      <x:c r="I193" s="22" t="str">
        <x:f>HYPERLINK("https://etp-aktiv.ru/catalog/materialy/truboprovody/2000553021-U311/","Открыть позицию")</x:f>
        <x:v>Открыть позицию</x:v>
      </x:c>
    </x:row>
    <x:row r="194" ht="28" customHeight="1">
      <x:c r="A194" s="16" t="str">
        <x:v>Кемеровская ГРЭС</x:v>
      </x:c>
      <x:c r="B194" s="16" t="str">
        <x:v>2000873464-U311</x:v>
      </x:c>
      <x:c r="C194" s="16" t="str">
        <x:v>БЛОК ПРУЖИННЫЙ 14 ОСТ34-10-743</x:v>
      </x:c>
      <x:c r="D194" s="16" t="str">
        <x:v>Система опорно-подвесная</x:v>
      </x:c>
      <x:c r="E194" s="16" t="str">
        <x:v>ШТ</x:v>
      </x:c>
      <x:c r="F194" s="21" t="n">
        <x:v>1</x:v>
      </x:c>
      <x:c r="G194" s="17" t="n">
        <x:v>4122.075</x:v>
      </x:c>
      <x:c r="H194" s="17" t="n">
        <x:f>G194*F194</x:f>
        <x:v>4122.075</x:v>
      </x:c>
      <x:c r="I194" s="22" t="str">
        <x:f>HYPERLINK("https://etp-aktiv.ru/catalog/materialy/truboprovody/2000873464-U311/","Открыть позицию")</x:f>
        <x:v>Открыть позицию</x:v>
      </x:c>
    </x:row>
    <x:row r="195" ht="28" customHeight="1">
      <x:c r="A195" s="16" t="str">
        <x:v>Кемеровская ГРЭС</x:v>
      </x:c>
      <x:c r="B195" s="16" t="str">
        <x:v>2000623014-U311</x:v>
      </x:c>
      <x:c r="C195" s="16" t="str">
        <x:v>БЛОК ПРУЖИННЫЙ ОПОРН 05 ОСТ34-10-745-93</x:v>
      </x:c>
      <x:c r="D195" s="16" t="str">
        <x:v>Система опорно-подвесная</x:v>
      </x:c>
      <x:c r="E195" s="16" t="str">
        <x:v>ШТ</x:v>
      </x:c>
      <x:c r="F195" s="21" t="n">
        <x:v>2</x:v>
      </x:c>
      <x:c r="G195" s="17" t="n">
        <x:v>384.5318</x:v>
      </x:c>
      <x:c r="H195" s="17" t="n">
        <x:f>G195*F195</x:f>
        <x:v>769.0636</x:v>
      </x:c>
      <x:c r="I195" s="22" t="str">
        <x:f>HYPERLINK("https://etp-aktiv.ru/catalog/materialy/truboprovody/2000623014-U311/","Открыть позицию")</x:f>
        <x:v>Открыть позицию</x:v>
      </x:c>
    </x:row>
    <x:row r="196" ht="28" customHeight="1">
      <x:c r="A196" s="16" t="str">
        <x:v>Кемеровская ГРЭС</x:v>
      </x:c>
      <x:c r="B196" s="16" t="str">
        <x:v>2000806629-U311</x:v>
      </x:c>
      <x:c r="C196" s="16" t="str">
        <x:v>БЛОК ПРУЖИННЫЙ ОПОРН 22 ОСТ34-10-745-93</x:v>
      </x:c>
      <x:c r="D196" s="16" t="str">
        <x:v>Система опорно-подвесная</x:v>
      </x:c>
      <x:c r="E196" s="16" t="str">
        <x:v>ШТ</x:v>
      </x:c>
      <x:c r="F196" s="21" t="n">
        <x:v>1</x:v>
      </x:c>
      <x:c r="G196" s="17" t="n">
        <x:v>19708.489999999998</x:v>
      </x:c>
      <x:c r="H196" s="17" t="n">
        <x:f>G196*F196</x:f>
        <x:v>19708.489999999998</x:v>
      </x:c>
      <x:c r="I196" s="22" t="str">
        <x:f>HYPERLINK("https://etp-aktiv.ru/catalog/materialy/truboprovody/2000806629-U311/","Открыть позицию")</x:f>
        <x:v>Открыть позицию</x:v>
      </x:c>
    </x:row>
    <x:row r="197" ht="28" customHeight="1">
      <x:c r="A197" s="16" t="str">
        <x:v>Кемеровская ГРЭС</x:v>
      </x:c>
      <x:c r="B197" s="16" t="str">
        <x:v>2000553060-U311</x:v>
      </x:c>
      <x:c r="C197" s="16" t="str">
        <x:v>БЛОК ПРУЖИННЫЙ СБОРН 16 ОСТ34-10-743-93</x:v>
      </x:c>
      <x:c r="D197" s="16" t="str">
        <x:v>Система опорно-подвесная</x:v>
      </x:c>
      <x:c r="E197" s="16" t="str">
        <x:v>ШТ</x:v>
      </x:c>
      <x:c r="F197" s="21" t="n">
        <x:v>4</x:v>
      </x:c>
      <x:c r="G197" s="17" t="n">
        <x:v>7747.182999999999</x:v>
      </x:c>
      <x:c r="H197" s="17" t="n">
        <x:f>G197*F197</x:f>
        <x:v>30988.731999999996</x:v>
      </x:c>
      <x:c r="I197" s="22" t="str">
        <x:f>HYPERLINK("https://etp-aktiv.ru/catalog/materialy/truboprovody/2000553060-U311/","Открыть позицию")</x:f>
        <x:v>Открыть позицию</x:v>
      </x:c>
    </x:row>
    <x:row r="198" ht="28" customHeight="1">
      <x:c r="A198" s="16" t="str">
        <x:v>Кемеровская ГРЭС</x:v>
      </x:c>
      <x:c r="B198" s="16" t="str">
        <x:v>2000806722-U311</x:v>
      </x:c>
      <x:c r="C198" s="16" t="str">
        <x:v>БЛОК С СЕРЬГОЙ 06 ОСТ34-10-730-93</x:v>
      </x:c>
      <x:c r="D198" s="16" t="str">
        <x:v>Система опорно-подвесная</x:v>
      </x:c>
      <x:c r="E198" s="16" t="str">
        <x:v>ШТ</x:v>
      </x:c>
      <x:c r="F198" s="21" t="n">
        <x:v>1</x:v>
      </x:c>
      <x:c r="G198" s="17" t="n">
        <x:v>1555.8172</x:v>
      </x:c>
      <x:c r="H198" s="17" t="n">
        <x:f>G198*F198</x:f>
        <x:v>1555.8172</x:v>
      </x:c>
      <x:c r="I198" s="22" t="str">
        <x:f>HYPERLINK("https://etp-aktiv.ru/catalog/materialy/truboprovody/2000806722-U311/","Открыть позицию")</x:f>
        <x:v>Открыть позицию</x:v>
      </x:c>
    </x:row>
    <x:row r="199" ht="28" customHeight="1">
      <x:c r="A199" s="16" t="str">
        <x:v>Кемеровская ГРЭС</x:v>
      </x:c>
      <x:c r="B199" s="16" t="str">
        <x:v>2000630230-U311</x:v>
      </x:c>
      <x:c r="C199" s="16" t="str">
        <x:v>ДОНЫШКО 200 СТ20 28 СТО ЦКТИ 504.01-2009</x:v>
      </x:c>
      <x:c r="D199" s="16" t="str">
        <x:v>Трубопроводы и элементы трубопроводов высокого давления</x:v>
      </x:c>
      <x:c r="E199" s="16" t="str">
        <x:v>ШТ</x:v>
      </x:c>
      <x:c r="F199" s="21" t="n">
        <x:v>1</x:v>
      </x:c>
      <x:c r="G199" s="17" t="n">
        <x:v>4308.1128</x:v>
      </x:c>
      <x:c r="H199" s="17" t="n">
        <x:f>G199*F199</x:f>
        <x:v>4308.1128</x:v>
      </x:c>
      <x:c r="I199" s="22" t="str">
        <x:f>HYPERLINK("https://etp-aktiv.ru/catalog/materialy/truboprovody/2000630230-U311/","Открыть позицию")</x:f>
        <x:v>Открыть позицию</x:v>
      </x:c>
    </x:row>
    <x:row r="200" ht="28" customHeight="1">
      <x:c r="A200" s="16" t="str">
        <x:v>Кемеровская ГРЭС</x:v>
      </x:c>
      <x:c r="B200" s="16" t="str">
        <x:v>2000241634-U311</x:v>
      </x:c>
      <x:c r="C200" s="16" t="str">
        <x:v>ЗАГЛУШКА СТ20 DN200 PN16 ТС-595.000-27</x:v>
      </x:c>
      <x:c r="D200" s="16" t="str">
        <x:v>Детали фасонные</x:v>
      </x:c>
      <x:c r="E200" s="16" t="str">
        <x:v>ШТ</x:v>
      </x:c>
      <x:c r="F200" s="21" t="n">
        <x:v>1</x:v>
      </x:c>
      <x:c r="G200" s="17" t="n">
        <x:v>257.3468</x:v>
      </x:c>
      <x:c r="H200" s="17" t="n">
        <x:f>G200*F200</x:f>
        <x:v>257.3468</x:v>
      </x:c>
      <x:c r="I200" s="22" t="str">
        <x:f>HYPERLINK("https://etp-aktiv.ru/catalog/materialy/truboprovody/2000241634-U311/","Открыть позицию")</x:f>
        <x:v>Открыть позицию</x:v>
      </x:c>
    </x:row>
    <x:row r="201" ht="28" customHeight="1">
      <x:c r="A201" s="16" t="str">
        <x:v>Кемеровская ГРЭС</x:v>
      </x:c>
      <x:c r="B201" s="16" t="str">
        <x:v>2000539609-U311</x:v>
      </x:c>
      <x:c r="C201" s="16" t="str">
        <x:v>КЛАПАН 15С52НЖ DN15 PN63 Р/П ФЛ А</x:v>
      </x:c>
      <x:c r="D201" s="16" t="str">
        <x:v>Трубопр армат промыш</x:v>
      </x:c>
      <x:c r="E201" s="16" t="str">
        <x:v>ШТ</x:v>
      </x:c>
      <x:c r="F201" s="21" t="n">
        <x:v>3</x:v>
      </x:c>
      <x:c r="G201" s="17" t="n">
        <x:v>246.8304</x:v>
      </x:c>
      <x:c r="H201" s="17" t="n">
        <x:f>G201*F201</x:f>
        <x:v>740.4911999999999</x:v>
      </x:c>
      <x:c r="I201" s="22" t="str">
        <x:f>HYPERLINK("https://etp-aktiv.ru/catalog/materialy/truboprovodnaya-armatura-i-komplektuyushchie/2000539609-U311/","Открыть позицию")</x:f>
        <x:v>Открыть позицию</x:v>
      </x:c>
    </x:row>
    <x:row r="202" ht="28" customHeight="1">
      <x:c r="A202" s="16" t="str">
        <x:v>Кемеровская ГРЭС</x:v>
      </x:c>
      <x:c r="B202" s="16" t="str">
        <x:v>2000007041-U311</x:v>
      </x:c>
      <x:c r="C202" s="16" t="str">
        <x:v>КЛАПАН 19Ч21БР DN50 PN16</x:v>
      </x:c>
      <x:c r="D202" s="16" t="str">
        <x:v>Трубопроводная арматура общепромышленного назначения</x:v>
      </x:c>
      <x:c r="E202" s="16" t="str">
        <x:v>ШТ</x:v>
      </x:c>
      <x:c r="F202" s="21" t="n">
        <x:v>1</x:v>
      </x:c>
      <x:c r="G202" s="17" t="n">
        <x:v>343.125</x:v>
      </x:c>
      <x:c r="H202" s="17" t="n">
        <x:f>G202*F202</x:f>
        <x:v>343.125</x:v>
      </x:c>
      <x:c r="I202" s="22" t="str">
        <x:f>HYPERLINK("https://etp-aktiv.ru/catalog/materialy/truboprovodnaya-armatura-i-komplektuyushchie/2000007041-U311/","Открыть позицию")</x:f>
        <x:v>Открыть позицию</x:v>
      </x:c>
    </x:row>
    <x:row r="203" ht="28" customHeight="1">
      <x:c r="A203" s="16" t="str">
        <x:v>Кемеровская ГРЭС</x:v>
      </x:c>
      <x:c r="B203" s="16" t="str">
        <x:v>2000630077-U311</x:v>
      </x:c>
      <x:c r="C203" s="16" t="str">
        <x:v>КОЛЕНО 90° 219*7-1500*1500-3785</x:v>
      </x:c>
      <x:c r="D203" s="16" t="str">
        <x:v>Трубопроводы и элементы трубопроводов высокого давления</x:v>
      </x:c>
      <x:c r="E203" s="16" t="str">
        <x:v>ШТ</x:v>
      </x:c>
      <x:c r="F203" s="21" t="n">
        <x:v>1</x:v>
      </x:c>
      <x:c r="G203" s="17" t="n">
        <x:v>24400</x:v>
      </x:c>
      <x:c r="H203" s="17" t="n">
        <x:f>G203*F203</x:f>
        <x:v>24400</x:v>
      </x:c>
      <x:c r="I203" s="22" t="str">
        <x:f>HYPERLINK("https://etp-aktiv.ru/catalog/materialy/truboprovody/2000630077-U311/","Открыть позицию")</x:f>
        <x:v>Открыть позицию</x:v>
      </x:c>
    </x:row>
    <x:row r="204" ht="28" customHeight="1">
      <x:c r="A204" s="16" t="str">
        <x:v>Кемеровская ГРЭС</x:v>
      </x:c>
      <x:c r="B204" s="16" t="str">
        <x:v>2000534945-U311</x:v>
      </x:c>
      <x:c r="C204" s="16" t="str">
        <x:v>КОМПЕНСАТОР 0,6(6)-400-1 08 ОСТ34-10-569</x:v>
      </x:c>
      <x:c r="D204" s="16" t="str">
        <x:v>Компенсаторы</x:v>
      </x:c>
      <x:c r="E204" s="16" t="str">
        <x:v>ШТ</x:v>
      </x:c>
      <x:c r="F204" s="21" t="n">
        <x:v>2</x:v>
      </x:c>
      <x:c r="G204" s="17" t="n">
        <x:v>1963.7974000000002</x:v>
      </x:c>
      <x:c r="H204" s="17" t="n">
        <x:f>G204*F204</x:f>
        <x:v>3927.5948000000003</x:v>
      </x:c>
      <x:c r="I204" s="22" t="str">
        <x:f>HYPERLINK("https://etp-aktiv.ru/catalog/materialy/truboprovody/2000534945-U311/","Открыть позицию")</x:f>
        <x:v>Открыть позицию</x:v>
      </x:c>
    </x:row>
    <x:row r="205" ht="28" customHeight="1">
      <x:c r="A205" s="16" t="str">
        <x:v>Кемеровская ГРЭС</x:v>
      </x:c>
      <x:c r="B205" s="16" t="str">
        <x:v>2000535019-U311</x:v>
      </x:c>
      <x:c r="C205" s="16" t="str">
        <x:v>КОМПЕНСАТОР ЛИНЗОВЫЙ 800-1 10 ПГВУ 244</x:v>
      </x:c>
      <x:c r="D205" s="16" t="str">
        <x:v>Компенсаторы</x:v>
      </x:c>
      <x:c r="E205" s="16" t="str">
        <x:v>ШТ</x:v>
      </x:c>
      <x:c r="F205" s="21" t="n">
        <x:v>3</x:v>
      </x:c>
      <x:c r="G205" s="17" t="n">
        <x:v>7288.097000000001</x:v>
      </x:c>
      <x:c r="H205" s="17" t="n">
        <x:f>G205*F205</x:f>
        <x:v>21864.291</x:v>
      </x:c>
      <x:c r="I205" s="22" t="str">
        <x:f>HYPERLINK("https://etp-aktiv.ru/catalog/materialy/truboprovody/2000535019-U311/","Открыть позицию")</x:f>
        <x:v>Открыть позицию</x:v>
      </x:c>
    </x:row>
    <x:row r="206" ht="28" customHeight="1">
      <x:c r="A206" s="16" t="str">
        <x:v>Кемеровская ГРЭС</x:v>
      </x:c>
      <x:c r="B206" s="16" t="str">
        <x:v>2000028317-U311</x:v>
      </x:c>
      <x:c r="C206" s="16" t="str">
        <x:v>КРАН 11Б18БК DN15 PN16</x:v>
      </x:c>
      <x:c r="D206" s="16" t="str">
        <x:v>Трубопр армат промыш</x:v>
      </x:c>
      <x:c r="E206" s="16" t="str">
        <x:v>ШТ</x:v>
      </x:c>
      <x:c r="F206" s="21" t="n">
        <x:v>1</x:v>
      </x:c>
      <x:c r="G206" s="17" t="n">
        <x:v>59.78</x:v>
      </x:c>
      <x:c r="H206" s="17" t="n">
        <x:f>G206*F206</x:f>
        <x:v>59.78</x:v>
      </x:c>
      <x:c r="I206" s="22" t="str">
        <x:f>HYPERLINK("https://etp-aktiv.ru/catalog/materialy/truboprovodnaya-armatura-i-komplektuyushchie/2000028317-U311/","Открыть позицию")</x:f>
        <x:v>Открыть позицию</x:v>
      </x:c>
    </x:row>
    <x:row r="207" ht="28" customHeight="1">
      <x:c r="A207" s="16" t="str">
        <x:v>Кемеровская ГРЭС</x:v>
      </x:c>
      <x:c r="B207" s="16" t="str">
        <x:v>2000540278-U311</x:v>
      </x:c>
      <x:c r="C207" s="16" t="str">
        <x:v>КРАН СТ20 СП ВОДА 200° ПП 15/40 РП A</x:v>
      </x:c>
      <x:c r="D207" s="16" t="str">
        <x:v>Трубопр армат промыш</x:v>
      </x:c>
      <x:c r="E207" s="16" t="str">
        <x:v>ШТ</x:v>
      </x:c>
      <x:c r="F207" s="21" t="n">
        <x:v>12</x:v>
      </x:c>
      <x:c r="G207" s="17" t="n">
        <x:v>131.6624</x:v>
      </x:c>
      <x:c r="H207" s="17" t="n">
        <x:f>G207*F207</x:f>
        <x:v>1579.9488</x:v>
      </x:c>
      <x:c r="I207" s="22" t="str">
        <x:f>HYPERLINK("https://etp-aktiv.ru/catalog/materialy/truboprovodnaya-armatura-i-komplektuyushchie/2000540278-U311/","Открыть позицию")</x:f>
        <x:v>Открыть позицию</x:v>
      </x:c>
    </x:row>
    <x:row r="208" ht="28" customHeight="1">
      <x:c r="A208" s="16" t="str">
        <x:v>Кемеровская ГРЭС</x:v>
      </x:c>
      <x:c r="B208" s="16" t="str">
        <x:v>2000320843-U311</x:v>
      </x:c>
      <x:c r="C208" s="16" t="str">
        <x:v>МУФТА DN25 PN16 ГОСТ8966-75</x:v>
      </x:c>
      <x:c r="D208" s="16" t="str">
        <x:v>Детали фасонные</x:v>
      </x:c>
      <x:c r="E208" s="16" t="str">
        <x:v>ШТ</x:v>
      </x:c>
      <x:c r="F208" s="21" t="n">
        <x:v>8</x:v>
      </x:c>
      <x:c r="G208" s="17" t="n">
        <x:v>4.0382</x:v>
      </x:c>
      <x:c r="H208" s="17" t="n">
        <x:f>G208*F208</x:f>
        <x:v>32.3056</x:v>
      </x:c>
      <x:c r="I208" s="22" t="str">
        <x:f>HYPERLINK("https://etp-aktiv.ru/catalog/materialy/truboprovody/2000320843-U311/","Открыть позицию")</x:f>
        <x:v>Открыть позицию</x:v>
      </x:c>
    </x:row>
    <x:row r="209" ht="28" customHeight="1">
      <x:c r="A209" s="16" t="str">
        <x:v>Кемеровская ГРЭС</x:v>
      </x:c>
      <x:c r="B209" s="16" t="str">
        <x:v>2000623013-U311</x:v>
      </x:c>
      <x:c r="C209" s="16" t="str">
        <x:v>НАКЛАДКА 2-41 ОСТ34-10-733-93</x:v>
      </x:c>
      <x:c r="D209" s="16" t="str">
        <x:v>Система опорно-подвесная</x:v>
      </x:c>
      <x:c r="E209" s="16" t="str">
        <x:v>ШТ</x:v>
      </x:c>
      <x:c r="F209" s="21" t="n">
        <x:v>3</x:v>
      </x:c>
      <x:c r="G209" s="17" t="n">
        <x:v>210.7794</x:v>
      </x:c>
      <x:c r="H209" s="17" t="n">
        <x:f>G209*F209</x:f>
        <x:v>632.3382</x:v>
      </x:c>
      <x:c r="I209" s="22" t="str">
        <x:f>HYPERLINK("https://etp-aktiv.ru/catalog/materialy/truboprovody/2000623013-U311/","Открыть позицию")</x:f>
        <x:v>Открыть позицию</x:v>
      </x:c>
    </x:row>
    <x:row r="210" ht="28" customHeight="1">
      <x:c r="A210" s="16" t="str">
        <x:v>Кемеровская ГРЭС</x:v>
      </x:c>
      <x:c r="B210" s="16" t="str">
        <x:v>2000553124-U311</x:v>
      </x:c>
      <x:c r="C210" s="16" t="str">
        <x:v>ОПОРА 57У 01 ОСТ34-10-620-93</x:v>
      </x:c>
      <x:c r="D210" s="16" t="str">
        <x:v>Система опорно-подвесная</x:v>
      </x:c>
      <x:c r="E210" s="16" t="str">
        <x:v>ШТ</x:v>
      </x:c>
      <x:c r="F210" s="21" t="n">
        <x:v>20</x:v>
      </x:c>
      <x:c r="G210" s="17" t="n">
        <x:v>34.574799999999996</x:v>
      </x:c>
      <x:c r="H210" s="17" t="n">
        <x:f>G210*F210</x:f>
        <x:v>691.4959999999999</x:v>
      </x:c>
      <x:c r="I210" s="22" t="str">
        <x:f>HYPERLINK("https://etp-aktiv.ru/catalog/materialy/truboprovody/2000553124-U311/","Открыть позицию")</x:f>
        <x:v>Открыть позицию</x:v>
      </x:c>
    </x:row>
    <x:row r="211" ht="28" customHeight="1">
      <x:c r="A211" s="16" t="str">
        <x:v>Кемеровская ГРЭС</x:v>
      </x:c>
      <x:c r="B211" s="16" t="str">
        <x:v>2000622077-U311</x:v>
      </x:c>
      <x:c r="C211" s="16" t="str">
        <x:v>ОПОРА СКОЛЬЗЯЩАЯ 820У 28 ОСТ34-10-615</x:v>
      </x:c>
      <x:c r="D211" s="16" t="str">
        <x:v>Система опорно-подвесная</x:v>
      </x:c>
      <x:c r="E211" s="16" t="str">
        <x:v>ШТ</x:v>
      </x:c>
      <x:c r="F211" s="21" t="n">
        <x:v>4</x:v>
      </x:c>
      <x:c r="G211" s="17" t="n">
        <x:v>5618.673400000001</x:v>
      </x:c>
      <x:c r="H211" s="17" t="n">
        <x:f>G211*F211</x:f>
        <x:v>22474.693600000002</x:v>
      </x:c>
      <x:c r="I211" s="22" t="str">
        <x:f>HYPERLINK("https://etp-aktiv.ru/catalog/materialy/truboprovody/2000622077-U311/","Открыть позицию")</x:f>
        <x:v>Открыть позицию</x:v>
      </x:c>
    </x:row>
    <x:row r="212" ht="28" customHeight="1">
      <x:c r="A212" s="16" t="str">
        <x:v>Кемеровская ГРЭС</x:v>
      </x:c>
      <x:c r="B212" s="16" t="str">
        <x:v>2000553293-U311</x:v>
      </x:c>
      <x:c r="C212" s="16" t="str">
        <x:v>ОПОРА СКОЛЬЗЯЩАЯ 89У 01 ОСТ34-10-615-93</x:v>
      </x:c>
      <x:c r="D212" s="16" t="str">
        <x:v>Система опорно-подвесная</x:v>
      </x:c>
      <x:c r="E212" s="16" t="str">
        <x:v>ШТ</x:v>
      </x:c>
      <x:c r="F212" s="21" t="n">
        <x:v>8</x:v>
      </x:c>
      <x:c r="G212" s="17" t="n">
        <x:v>54.9488</x:v>
      </x:c>
      <x:c r="H212" s="17" t="n">
        <x:f>G212*F212</x:f>
        <x:v>439.5904</x:v>
      </x:c>
      <x:c r="I212" s="22" t="str">
        <x:f>HYPERLINK("https://etp-aktiv.ru/catalog/materialy/truboprovody/2000553293-U311/","Открыть позицию")</x:f>
        <x:v>Открыть позицию</x:v>
      </x:c>
    </x:row>
    <x:row r="213" ht="28" customHeight="1">
      <x:c r="A213" s="16" t="str">
        <x:v>Кемеровская ГРЭС</x:v>
      </x:c>
      <x:c r="B213" s="16" t="str">
        <x:v>2000559008-U311</x:v>
      </x:c>
      <x:c r="C213" s="16" t="str">
        <x:v>ОТВОД 45 219*13-50*50 СТ20 030ЦКТИ321.03</x:v>
      </x:c>
      <x:c r="D213" s="16" t="str">
        <x:v>Труб/элем ВД</x:v>
      </x:c>
      <x:c r="E213" s="16" t="str">
        <x:v>ШТ</x:v>
      </x:c>
      <x:c r="F213" s="21" t="n">
        <x:v>2</x:v>
      </x:c>
      <x:c r="G213" s="17" t="n">
        <x:v>8260.4492</x:v>
      </x:c>
      <x:c r="H213" s="17" t="n">
        <x:f>G213*F213</x:f>
        <x:v>16520.8984</x:v>
      </x:c>
      <x:c r="I213" s="22" t="str">
        <x:f>HYPERLINK("https://etp-aktiv.ru/catalog/materialy/truboprovody/2000559008-U311/","Открыть позицию")</x:f>
        <x:v>Открыть позицию</x:v>
      </x:c>
    </x:row>
    <x:row r="214" ht="28" customHeight="1">
      <x:c r="A214" s="16" t="str">
        <x:v>Кемеровская ГРЭС</x:v>
      </x:c>
      <x:c r="B214" s="16" t="str">
        <x:v>2000258351-U311</x:v>
      </x:c>
      <x:c r="C214" s="16" t="str">
        <x:v>ОТВОД 45° 09Г2С DN57 3,5 ГОСТ17375-01</x:v>
      </x:c>
      <x:c r="D214" s="16" t="str">
        <x:v>Детали фасонные</x:v>
      </x:c>
      <x:c r="E214" s="16" t="str">
        <x:v>ШТ</x:v>
      </x:c>
      <x:c r="F214" s="21" t="n">
        <x:v>1</x:v>
      </x:c>
      <x:c r="G214" s="17" t="n">
        <x:v>60.5486</x:v>
      </x:c>
      <x:c r="H214" s="17" t="n">
        <x:f>G214*F214</x:f>
        <x:v>60.5486</x:v>
      </x:c>
      <x:c r="I214" s="22" t="str">
        <x:f>HYPERLINK("https://etp-aktiv.ru/catalog/materialy/truboprovody/2000258351-U311/","Открыть позицию")</x:f>
        <x:v>Открыть позицию</x:v>
      </x:c>
    </x:row>
    <x:row r="215" ht="28" customHeight="1">
      <x:c r="A215" s="16" t="str">
        <x:v>Кемеровская ГРЭС</x:v>
      </x:c>
      <x:c r="B215" s="16" t="str">
        <x:v>2000622591-U311</x:v>
      </x:c>
      <x:c r="C215" s="16" t="str">
        <x:v>ОТВОД 60° СТ20 630*9 ГОСТ17380-2001</x:v>
      </x:c>
      <x:c r="D215" s="16" t="str">
        <x:v>Детали фасонные</x:v>
      </x:c>
      <x:c r="E215" s="16" t="str">
        <x:v>ШТ</x:v>
      </x:c>
      <x:c r="F215" s="21" t="n">
        <x:v>2</x:v>
      </x:c>
      <x:c r="G215" s="17" t="n">
        <x:v>4775.7022</x:v>
      </x:c>
      <x:c r="H215" s="17" t="n">
        <x:f>G215*F215</x:f>
        <x:v>9551.4044</x:v>
      </x:c>
      <x:c r="I215" s="22" t="str">
        <x:f>HYPERLINK("https://etp-aktiv.ru/catalog/materialy/truboprovody/2000622591-U311/","Открыть позицию")</x:f>
        <x:v>Открыть позицию</x:v>
      </x:c>
    </x:row>
    <x:row r="216" ht="28" customHeight="1">
      <x:c r="A216" s="16" t="str">
        <x:v>Кемеровская ГРЭС</x:v>
      </x:c>
      <x:c r="B216" s="16" t="str">
        <x:v>2000554413-U311</x:v>
      </x:c>
      <x:c r="C216" s="16" t="str">
        <x:v>ОТВОД 90° 09Г2С DN159*6 ОСТ34.10.699</x:v>
      </x:c>
      <x:c r="D216" s="16" t="str">
        <x:v>Детали фасонные</x:v>
      </x:c>
      <x:c r="E216" s="16" t="str">
        <x:v>ШТ</x:v>
      </x:c>
      <x:c r="F216" s="21" t="n">
        <x:v>1</x:v>
      </x:c>
      <x:c r="G216" s="17" t="n">
        <x:v>291.4702</x:v>
      </x:c>
      <x:c r="H216" s="17" t="n">
        <x:f>G216*F216</x:f>
        <x:v>291.4702</x:v>
      </x:c>
      <x:c r="I216" s="22" t="str">
        <x:f>HYPERLINK("https://etp-aktiv.ru/catalog/materialy/truboprovody/2000554413-U311/","Открыть позицию")</x:f>
        <x:v>Открыть позицию</x:v>
      </x:c>
    </x:row>
    <x:row r="217" ht="28" customHeight="1">
      <x:c r="A217" s="16" t="str">
        <x:v>Кемеровская ГРЭС</x:v>
      </x:c>
      <x:c r="B217" s="16" t="str">
        <x:v>2000263290-U311</x:v>
      </x:c>
      <x:c r="C217" s="16" t="str">
        <x:v>ОТВОД 90° 12Х1МФ DN76 13 250 150 871R300</x:v>
      </x:c>
      <x:c r="D217" s="16" t="str">
        <x:v>Детали фасонные</x:v>
      </x:c>
      <x:c r="E217" s="16" t="str">
        <x:v>ШТ</x:v>
      </x:c>
      <x:c r="F217" s="21" t="n">
        <x:v>9</x:v>
      </x:c>
      <x:c r="G217" s="17" t="n">
        <x:v>2594.2324</x:v>
      </x:c>
      <x:c r="H217" s="17" t="n">
        <x:f>G217*F217</x:f>
        <x:v>23348.0916</x:v>
      </x:c>
      <x:c r="I217" s="22" t="str">
        <x:f>HYPERLINK("https://etp-aktiv.ru/catalog/materialy/truboprovody/2000263290-U311/","Открыть позицию")</x:f>
        <x:v>Открыть позицию</x:v>
      </x:c>
    </x:row>
    <x:row r="218" ht="28" customHeight="1">
      <x:c r="A218" s="16" t="str">
        <x:v>Кемеровская ГРЭС</x:v>
      </x:c>
      <x:c r="B218" s="16" t="str">
        <x:v>2000559069-U311</x:v>
      </x:c>
      <x:c r="C218" s="16" t="str">
        <x:v>ПЕРЕХОД 80*50 СТ20 41 СТО ЦКТИ 318.02</x:v>
      </x:c>
      <x:c r="D218" s="16" t="str">
        <x:v>Труб/элем ВД</x:v>
      </x:c>
      <x:c r="E218" s="16" t="str">
        <x:v>ШТ</x:v>
      </x:c>
      <x:c r="F218" s="21" t="n">
        <x:v>14</x:v>
      </x:c>
      <x:c r="G218" s="17" t="n">
        <x:v>1952</x:v>
      </x:c>
      <x:c r="H218" s="17" t="n">
        <x:f>G218*F218</x:f>
        <x:v>27328</x:v>
      </x:c>
      <x:c r="I218" s="22" t="str">
        <x:f>HYPERLINK("https://etp-aktiv.ru/catalog/materialy/truboprovody/2000559069-U311/","Открыть позицию")</x:f>
        <x:v>Открыть позицию</x:v>
      </x:c>
    </x:row>
    <x:row r="219" ht="28" customHeight="1">
      <x:c r="A219" s="16" t="str">
        <x:v>Кемеровская ГРЭС</x:v>
      </x:c>
      <x:c r="B219" s="16" t="str">
        <x:v>2000554971-U311</x:v>
      </x:c>
      <x:c r="C219" s="16" t="str">
        <x:v>ПЕРЕХОД К 09Г2С 377*12-273*10 34.10.700</x:v>
      </x:c>
      <x:c r="D219" s="16" t="str">
        <x:v>Детали фасонные</x:v>
      </x:c>
      <x:c r="E219" s="16" t="str">
        <x:v>ШТ</x:v>
      </x:c>
      <x:c r="F219" s="21" t="n">
        <x:v>1</x:v>
      </x:c>
      <x:c r="G219" s="17" t="n">
        <x:v>1500.1486</x:v>
      </x:c>
      <x:c r="H219" s="17" t="n">
        <x:f>G219*F219</x:f>
        <x:v>1500.1486</x:v>
      </x:c>
      <x:c r="I219" s="22" t="str">
        <x:f>HYPERLINK("https://etp-aktiv.ru/catalog/materialy/truboprovody/2000554971-U311/","Открыть позицию")</x:f>
        <x:v>Открыть позицию</x:v>
      </x:c>
    </x:row>
    <x:row r="220" ht="28" customHeight="1">
      <x:c r="A220" s="16" t="str">
        <x:v>Кемеровская ГРЭС</x:v>
      </x:c>
      <x:c r="B220" s="16" t="str">
        <x:v>2000555024-U311</x:v>
      </x:c>
      <x:c r="C220" s="16" t="str">
        <x:v>ПЕРЕХОД К 09Г2С 76*3,5-45*2,5 34.10.700</x:v>
      </x:c>
      <x:c r="D220" s="16" t="str">
        <x:v>Детали фасонные</x:v>
      </x:c>
      <x:c r="E220" s="16" t="str">
        <x:v>ШТ</x:v>
      </x:c>
      <x:c r="F220" s="21" t="n">
        <x:v>2</x:v>
      </x:c>
      <x:c r="G220" s="17" t="n">
        <x:v>46.909</x:v>
      </x:c>
      <x:c r="H220" s="17" t="n">
        <x:f>G220*F220</x:f>
        <x:v>93.818</x:v>
      </x:c>
      <x:c r="I220" s="22" t="str">
        <x:f>HYPERLINK("https://etp-aktiv.ru/catalog/materialy/truboprovody/2000555024-U311/","Открыть позицию")</x:f>
        <x:v>Открыть позицию</x:v>
      </x:c>
    </x:row>
    <x:row r="221" ht="28" customHeight="1">
      <x:c r="A221" s="16" t="str">
        <x:v>Кемеровская ГРЭС</x:v>
      </x:c>
      <x:c r="B221" s="16" t="str">
        <x:v>2000182870-U311</x:v>
      </x:c>
      <x:c r="C221" s="16" t="str">
        <x:v>ПЕРЕХОД К СТ20 76*3,5 57 3 ОСТ34.10.700</x:v>
      </x:c>
      <x:c r="D221" s="16" t="str">
        <x:v>Детали фасонные</x:v>
      </x:c>
      <x:c r="E221" s="16" t="str">
        <x:v>ШТ</x:v>
      </x:c>
      <x:c r="F221" s="21" t="n">
        <x:v>2</x:v>
      </x:c>
      <x:c r="G221" s="17" t="n">
        <x:v>51.374199999999995</x:v>
      </x:c>
      <x:c r="H221" s="17" t="n">
        <x:f>G221*F221</x:f>
        <x:v>102.74839999999999</x:v>
      </x:c>
      <x:c r="I221" s="22" t="str">
        <x:f>HYPERLINK("https://etp-aktiv.ru/catalog/materialy/truboprovody/2000182870-U311/","Открыть позицию")</x:f>
        <x:v>Открыть позицию</x:v>
      </x:c>
    </x:row>
    <x:row r="222" ht="28" customHeight="1">
      <x:c r="A222" s="16" t="str">
        <x:v>Кемеровская ГРЭС</x:v>
      </x:c>
      <x:c r="B222" s="16" t="str">
        <x:v>2000555096-U311</x:v>
      </x:c>
      <x:c r="C222" s="16" t="str">
        <x:v>ПЕРЕХОД ПК 09Г2С 76*6-57*5 ГОСТ17378</x:v>
      </x:c>
      <x:c r="D222" s="16" t="str">
        <x:v>Детали фасонные</x:v>
      </x:c>
      <x:c r="E222" s="16" t="str">
        <x:v>ШТ</x:v>
      </x:c>
      <x:c r="F222" s="21" t="n">
        <x:v>6</x:v>
      </x:c>
      <x:c r="G222" s="17" t="n">
        <x:v>31.1588</x:v>
      </x:c>
      <x:c r="H222" s="17" t="n">
        <x:f>G222*F222</x:f>
        <x:v>186.9528</x:v>
      </x:c>
      <x:c r="I222" s="22" t="str">
        <x:f>HYPERLINK("https://etp-aktiv.ru/catalog/materialy/truboprovody/2000555096-U311/","Открыть позицию")</x:f>
        <x:v>Открыть позицию</x:v>
      </x:c>
    </x:row>
    <x:row r="223" ht="28" customHeight="1">
      <x:c r="A223" s="16" t="str">
        <x:v>Кемеровская ГРЭС</x:v>
      </x:c>
      <x:c r="B223" s="16" t="str">
        <x:v>2000552941-U311</x:v>
      </x:c>
      <x:c r="C223" s="16" t="str">
        <x:v>ПОДВЕСКА ЖЕСТКАЯ 4090-ТМ Л4</x:v>
      </x:c>
      <x:c r="D223" s="16" t="str">
        <x:v>Система опорн-подвес</x:v>
      </x:c>
      <x:c r="E223" s="16" t="str">
        <x:v>КМП</x:v>
      </x:c>
      <x:c r="F223" s="21" t="n">
        <x:v>1</x:v>
      </x:c>
      <x:c r="G223" s="17" t="n">
        <x:v>450.19219999999996</x:v>
      </x:c>
      <x:c r="H223" s="17" t="n">
        <x:f>G223*F223</x:f>
        <x:v>450.19219999999996</x:v>
      </x:c>
      <x:c r="I223" s="22" t="str">
        <x:f>HYPERLINK("https://etp-aktiv.ru/catalog/materialy/truboprovody/2000552941-U311/","Открыть позицию")</x:f>
        <x:v>Открыть позицию</x:v>
      </x:c>
    </x:row>
    <x:row r="224" ht="28" customHeight="1">
      <x:c r="A224" s="16" t="str">
        <x:v>Кемеровская ГРЭС</x:v>
      </x:c>
      <x:c r="B224" s="16" t="str">
        <x:v>2000559225-U311</x:v>
      </x:c>
      <x:c r="C224" s="16" t="str">
        <x:v>ТРОЙНИК 20 12Х1МФ 05 ОСТ108.720.05-82</x:v>
      </x:c>
      <x:c r="D224" s="16" t="str">
        <x:v>Труб/элем ВД</x:v>
      </x:c>
      <x:c r="E224" s="16" t="str">
        <x:v>ШТ</x:v>
      </x:c>
      <x:c r="F224" s="21" t="n">
        <x:v>1</x:v>
      </x:c>
      <x:c r="G224" s="17" t="n">
        <x:v>828.3312000000001</x:v>
      </x:c>
      <x:c r="H224" s="17" t="n">
        <x:f>G224*F224</x:f>
        <x:v>828.3312000000001</x:v>
      </x:c>
      <x:c r="I224" s="22" t="str">
        <x:f>HYPERLINK("https://etp-aktiv.ru/catalog/materialy/truboprovody/2000559225-U311/","Открыть позицию")</x:f>
        <x:v>Открыть позицию</x:v>
      </x:c>
    </x:row>
    <x:row r="225" ht="28" customHeight="1">
      <x:c r="A225" s="16" t="str">
        <x:v>Кемеровская ГРЭС</x:v>
      </x:c>
      <x:c r="B225" s="16" t="str">
        <x:v>2000559070-U311</x:v>
      </x:c>
      <x:c r="C225" s="16" t="str">
        <x:v>ТРОЙНИК 20*10 02 12Х1МФ ОСТ108.720.06</x:v>
      </x:c>
      <x:c r="D225" s="16" t="str">
        <x:v>Труб/элем ВД</x:v>
      </x:c>
      <x:c r="E225" s="16" t="str">
        <x:v>ШТ</x:v>
      </x:c>
      <x:c r="F225" s="21" t="n">
        <x:v>7</x:v>
      </x:c>
      <x:c r="G225" s="17" t="n">
        <x:v>1050.176</x:v>
      </x:c>
      <x:c r="H225" s="17" t="n">
        <x:f>G225*F225</x:f>
        <x:v>7351.232</x:v>
      </x:c>
      <x:c r="I225" s="22" t="str">
        <x:f>HYPERLINK("https://etp-aktiv.ru/catalog/materialy/truboprovody/2000559070-U311/","Открыть позицию")</x:f>
        <x:v>Открыть позицию</x:v>
      </x:c>
    </x:row>
    <x:row r="226" ht="28" customHeight="1">
      <x:c r="A226" s="16" t="str">
        <x:v>Кемеровская ГРЭС</x:v>
      </x:c>
      <x:c r="B226" s="16" t="str">
        <x:v>M2000552900-U311</x:v>
      </x:c>
      <x:c r="C226" s="16" t="str">
        <x:v>ТРОЙНИК 45° 50*50</x:v>
      </x:c>
      <x:c r="D226" s="16" t="str">
        <x:v>Детали фасонные</x:v>
      </x:c>
      <x:c r="E226" s="16" t="str">
        <x:v>ШТ</x:v>
      </x:c>
      <x:c r="F226" s="21" t="n">
        <x:v>7</x:v>
      </x:c>
      <x:c r="G226" s="17" t="n">
        <x:v>5.3557999999999995</x:v>
      </x:c>
      <x:c r="H226" s="17" t="n">
        <x:f>G226*F226</x:f>
        <x:v>37.49059999999999</x:v>
      </x:c>
      <x:c r="I226" s="22" t="str">
        <x:f>HYPERLINK("https://etp-aktiv.ru/catalog/materialy/truboprovody/M2000552900-U311/","Открыть позицию")</x:f>
        <x:v>Открыть позицию</x:v>
      </x:c>
    </x:row>
    <x:row r="227" ht="28" customHeight="1">
      <x:c r="A227" s="16" t="str">
        <x:v>Кемеровская ГРЭС</x:v>
      </x:c>
      <x:c r="B227" s="16" t="str">
        <x:v>2000559231-U311</x:v>
      </x:c>
      <x:c r="C227" s="16" t="str">
        <x:v>ТРОЙНИК 50 12Х1МФ 06 ОСТ108.720.05-82</x:v>
      </x:c>
      <x:c r="D227" s="16" t="str">
        <x:v>Труб/элем ВД</x:v>
      </x:c>
      <x:c r="E227" s="16" t="str">
        <x:v>ШТ</x:v>
      </x:c>
      <x:c r="F227" s="21" t="n">
        <x:v>1</x:v>
      </x:c>
      <x:c r="G227" s="17" t="n">
        <x:v>1878.6291999999999</x:v>
      </x:c>
      <x:c r="H227" s="17" t="n">
        <x:f>G227*F227</x:f>
        <x:v>1878.6291999999999</x:v>
      </x:c>
      <x:c r="I227" s="22" t="str">
        <x:f>HYPERLINK("https://etp-aktiv.ru/catalog/materialy/truboprovody/2000559231-U311/","Открыть позицию")</x:f>
        <x:v>Открыть позицию</x:v>
      </x:c>
    </x:row>
    <x:row r="228" ht="28" customHeight="1">
      <x:c r="A228" s="16" t="str">
        <x:v>Кемеровская ГРЭС</x:v>
      </x:c>
      <x:c r="B228" s="16" t="str">
        <x:v>2000253185-U311</x:v>
      </x:c>
      <x:c r="C228" s="16" t="str">
        <x:v>ТРУБА 12Х1МФ 89*8 ТУ14-3Р-55-2001</x:v>
      </x:c>
      <x:c r="D228" s="16" t="str">
        <x:v>Трубы котельные высокого давления</x:v>
      </x:c>
      <x:c r="E228" s="16" t="str">
        <x:v>Т</x:v>
      </x:c>
      <x:c r="F228" s="30" t="n">
        <x:v>0.095</x:v>
      </x:c>
      <x:c r="G228" s="17" t="n">
        <x:v>74769.7984</x:v>
      </x:c>
      <x:c r="H228" s="17" t="n">
        <x:f>G228*F228</x:f>
        <x:v>7103.130848</x:v>
      </x:c>
      <x:c r="I228" s="22" t="str">
        <x:f>HYPERLINK("https://etp-aktiv.ru/catalog/materialy/truby-stalnye-i-polimernye/2000253185-U311/","Открыть позицию")</x:f>
        <x:v>Открыть позицию</x:v>
      </x:c>
    </x:row>
    <x:row r="229" ht="28" customHeight="1">
      <x:c r="A229" s="16" t="str">
        <x:v>Кемеровская ГРЭС</x:v>
      </x:c>
      <x:c r="B229" s="16" t="str">
        <x:v>2000533186-U311</x:v>
      </x:c>
      <x:c r="C229" s="16" t="str">
        <x:v>ТРУБА ГОФРИРОВАН ПВХ 25ММ CTG20-25-K41</x:v>
      </x:c>
      <x:c r="D229" s="16" t="str">
        <x:v>Мотажные изд д/кабел</x:v>
      </x:c>
      <x:c r="E229" s="16" t="str">
        <x:v>М</x:v>
      </x:c>
      <x:c r="F229" s="21" t="n">
        <x:v>100</x:v>
      </x:c>
      <x:c r="G229" s="17" t="n">
        <x:v>3.7332</x:v>
      </x:c>
      <x:c r="H229" s="17" t="n">
        <x:f>G229*F229</x:f>
        <x:v>373.32</x:v>
      </x:c>
      <x:c r="I229" s="22" t="str">
        <x:f>HYPERLINK("https://etp-aktiv.ru/catalog/materialy/ehlektrotekhnicheskie-materialy/2000533186-U311/","Открыть позицию")</x:f>
        <x:v>Открыть позицию</x:v>
      </x:c>
    </x:row>
    <x:row r="230" ht="28" customHeight="1">
      <x:c r="A230" s="16" t="str">
        <x:v>Кемеровская ГРЭС</x:v>
      </x:c>
      <x:c r="B230" s="16" t="str">
        <x:v>M2000546895-U311</x:v>
      </x:c>
      <x:c r="C230" s="16" t="str">
        <x:v>ТРУБКА 2-1С 14*3 ГОСТ5496-78</x:v>
      </x:c>
      <x:c r="D230" s="16" t="str">
        <x:v>Проч резино-тех изд</x:v>
      </x:c>
      <x:c r="E230" s="16" t="str">
        <x:v>ПМ</x:v>
      </x:c>
      <x:c r="F230" s="29" t="n">
        <x:v>8.5</x:v>
      </x:c>
      <x:c r="G230" s="17" t="n">
        <x:v>7.3566</x:v>
      </x:c>
      <x:c r="H230" s="17" t="n">
        <x:f>G230*F230</x:f>
        <x:v>62.5311</x:v>
      </x:c>
      <x:c r="I230" s="22" t="str">
        <x:f>HYPERLINK("https://etp-aktiv.ru/catalog/materialy/rezino-tekhnicheskie-izdeliya/M2000546895-U311/","Открыть позицию")</x:f>
        <x:v>Открыть позицию</x:v>
      </x:c>
    </x:row>
    <x:row r="231" ht="28" customHeight="1">
      <x:c r="A231" s="16" t="str">
        <x:v>Кемеровская ГРЭС</x:v>
      </x:c>
      <x:c r="B231" s="16" t="str">
        <x:v>2000553434-U311</x:v>
      </x:c>
      <x:c r="C231" s="16" t="str">
        <x:v>УШКО 1-03 ОСТ34.10.729-93</x:v>
      </x:c>
      <x:c r="D231" s="16" t="str">
        <x:v>Система опорно-подвесная</x:v>
      </x:c>
      <x:c r="E231" s="16" t="str">
        <x:v>ШТ</x:v>
      </x:c>
      <x:c r="F231" s="21" t="n">
        <x:v>2</x:v>
      </x:c>
      <x:c r="G231" s="17" t="n">
        <x:v>225.8952</x:v>
      </x:c>
      <x:c r="H231" s="17" t="n">
        <x:f>G231*F231</x:f>
        <x:v>451.7904</x:v>
      </x:c>
      <x:c r="I231" s="22" t="str">
        <x:f>HYPERLINK("https://etp-aktiv.ru/catalog/materialy/truboprovody/2000553434-U311/","Открыть позицию")</x:f>
        <x:v>Открыть позицию</x:v>
      </x:c>
    </x:row>
    <x:row r="232" ht="28" customHeight="1">
      <x:c r="A232" s="16" t="str">
        <x:v>Кемеровская ГРЭС</x:v>
      </x:c>
      <x:c r="B232" s="16" t="str">
        <x:v>2000553435-U311</x:v>
      </x:c>
      <x:c r="C232" s="16" t="str">
        <x:v>УШКО 1-04 ОСТ34.10.729-93</x:v>
      </x:c>
      <x:c r="D232" s="16" t="str">
        <x:v>Система опорно-подвесная</x:v>
      </x:c>
      <x:c r="E232" s="16" t="str">
        <x:v>ШТ</x:v>
      </x:c>
      <x:c r="F232" s="21" t="n">
        <x:v>1</x:v>
      </x:c>
      <x:c r="G232" s="17" t="n">
        <x:v>321.0552</x:v>
      </x:c>
      <x:c r="H232" s="17" t="n">
        <x:f>G232*F232</x:f>
        <x:v>321.0552</x:v>
      </x:c>
      <x:c r="I232" s="22" t="str">
        <x:f>HYPERLINK("https://etp-aktiv.ru/catalog/materialy/truboprovody/2000553435-U311/","Открыть позицию")</x:f>
        <x:v>Открыть позицию</x:v>
      </x:c>
    </x:row>
    <x:row r="233" ht="28" customHeight="1">
      <x:c r="A233" s="16" t="str">
        <x:v>Кемеровская ГРЭС</x:v>
      </x:c>
      <x:c r="B233" s="16" t="str">
        <x:v>2000830987-U311</x:v>
      </x:c>
      <x:c r="C233" s="16" t="str">
        <x:v>ФЛАНЕЦ СТ20 350-10-11-2-В ГОСТ54432-2011</x:v>
      </x:c>
      <x:c r="D233" s="16" t="str">
        <x:v>Детали фасонные</x:v>
      </x:c>
      <x:c r="E233" s="16" t="str">
        <x:v>ШТ</x:v>
      </x:c>
      <x:c r="F233" s="21" t="n">
        <x:v>2</x:v>
      </x:c>
      <x:c r="G233" s="17" t="n">
        <x:v>12805.425</x:v>
      </x:c>
      <x:c r="H233" s="17" t="n">
        <x:f>G233*F233</x:f>
        <x:v>25610.85</x:v>
      </x:c>
      <x:c r="I233" s="22" t="str">
        <x:f>HYPERLINK("https://etp-aktiv.ru/catalog/materialy/truboprovody/2000830987-U311/","Открыть позицию")</x:f>
        <x:v>Открыть позицию</x:v>
      </x:c>
    </x:row>
    <x:row r="234" ht="28" customHeight="1">
      <x:c r="A234" s="16" t="str">
        <x:v>Кемеровская ГРЭС</x:v>
      </x:c>
      <x:c r="B234" s="16" t="str">
        <x:v>M2000554672-U311</x:v>
      </x:c>
      <x:c r="C234" s="16" t="str">
        <x:v>ФЛАНЕЦ СТ20 DN100 PN25 ИСП.1 ГОСТ33259</x:v>
      </x:c>
      <x:c r="D234" s="16" t="str">
        <x:v>Детали фасонные</x:v>
      </x:c>
      <x:c r="E234" s="16" t="str">
        <x:v>ШТ</x:v>
      </x:c>
      <x:c r="F234" s="21" t="n">
        <x:v>16</x:v>
      </x:c>
      <x:c r="G234" s="17" t="n">
        <x:v>83.0576</x:v>
      </x:c>
      <x:c r="H234" s="17" t="n">
        <x:f>G234*F234</x:f>
        <x:v>1328.9216</x:v>
      </x:c>
      <x:c r="I234" s="22" t="str">
        <x:f>HYPERLINK("https://etp-aktiv.ru/catalog/materialy/truboprovody/M2000554672-U311/","Открыть позицию")</x:f>
        <x:v>Открыть позицию</x:v>
      </x:c>
    </x:row>
    <x:row r="235" ht="28" customHeight="1">
      <x:c r="A235" s="16" t="str">
        <x:v>Кемеровская ГРЭС</x:v>
      </x:c>
      <x:c r="B235" s="16" t="str">
        <x:v>2000305801-U311</x:v>
      </x:c>
      <x:c r="C235" s="16" t="str">
        <x:v>ФЛАНЕЦ СТ20 DN150 PN40 ИСП2 ГОСТ12281-80</x:v>
      </x:c>
      <x:c r="D235" s="16" t="str">
        <x:v>Детали фасонные</x:v>
      </x:c>
      <x:c r="E235" s="16" t="str">
        <x:v>ШТ</x:v>
      </x:c>
      <x:c r="F235" s="21" t="n">
        <x:v>1</x:v>
      </x:c>
      <x:c r="G235" s="17" t="n">
        <x:v>4460.625</x:v>
      </x:c>
      <x:c r="H235" s="17" t="n">
        <x:f>G235*F235</x:f>
        <x:v>4460.625</x:v>
      </x:c>
      <x:c r="I235" s="22" t="str">
        <x:f>HYPERLINK("https://etp-aktiv.ru/catalog/materialy/truboprovody/2000305801-U311/","Открыть позицию")</x:f>
        <x:v>Открыть позицию</x:v>
      </x:c>
    </x:row>
    <x:row r="236" ht="28" customHeight="1">
      <x:c r="A236" s="16" t="str">
        <x:v>Кемеровская ГРЭС</x:v>
      </x:c>
      <x:c r="B236" s="16" t="str">
        <x:v>M2000554860-U311</x:v>
      </x:c>
      <x:c r="C236" s="16" t="str">
        <x:v>ФЛАНЕЦ СТ20 DN50 PN16 01-1-B ГОСТ33259</x:v>
      </x:c>
      <x:c r="D236" s="16" t="str">
        <x:v>Детали фасонные</x:v>
      </x:c>
      <x:c r="E236" s="16" t="str">
        <x:v>ШТ</x:v>
      </x:c>
      <x:c r="F236" s="21" t="n">
        <x:v>5</x:v>
      </x:c>
      <x:c r="G236" s="17" t="n">
        <x:v>58.1208</x:v>
      </x:c>
      <x:c r="H236" s="17" t="n">
        <x:f>G236*F236</x:f>
        <x:v>290.60400000000004</x:v>
      </x:c>
      <x:c r="I236" s="22" t="str">
        <x:f>HYPERLINK("https://etp-aktiv.ru/catalog/materialy/truboprovody/M2000554860-U311/","Открыть позицию")</x:f>
        <x:v>Открыть позицию</x:v>
      </x:c>
    </x:row>
    <x:row r="237" ht="28" customHeight="1">
      <x:c r="A237" s="16" t="str">
        <x:v>Кемеровская ГРЭС</x:v>
      </x:c>
      <x:c r="B237" s="16" t="str">
        <x:v>2000632519-U311</x:v>
      </x:c>
      <x:c r="C237" s="16" t="str">
        <x:v>ФЛАНЕЦ СТ3СП5-200-10-01-1-ВIII ГОСТ33259</x:v>
      </x:c>
      <x:c r="D237" s="16" t="str">
        <x:v>Детали фасонные</x:v>
      </x:c>
      <x:c r="E237" s="16" t="str">
        <x:v>ШТ</x:v>
      </x:c>
      <x:c r="F237" s="21" t="n">
        <x:v>1</x:v>
      </x:c>
      <x:c r="G237" s="17" t="n">
        <x:v>1473.1499999999999</x:v>
      </x:c>
      <x:c r="H237" s="17" t="n">
        <x:f>G237*F237</x:f>
        <x:v>1473.1499999999999</x:v>
      </x:c>
      <x:c r="I237" s="22" t="str">
        <x:f>HYPERLINK("https://etp-aktiv.ru/catalog/materialy/truboprovody/2000632519-U311/","Открыть позицию")</x:f>
        <x:v>Открыть позицию</x:v>
      </x:c>
    </x:row>
    <x:row r="238" ht="28" customHeight="1">
      <x:c r="A238" s="16" t="str">
        <x:v>Кемеровская ГРЭС</x:v>
      </x:c>
      <x:c r="B238" s="16" t="str">
        <x:v>2000526786-U311</x:v>
      </x:c>
      <x:c r="C238" s="16" t="str">
        <x:v>ШПИНДЕЛЬ 881-150-8-02 ЗАДВИЖКИ</x:v>
      </x:c>
      <x:c r="D238" s="16" t="str">
        <x:v>ЗЧ трубопр арматуры</x:v>
      </x:c>
      <x:c r="E238" s="16" t="str">
        <x:v>ШТ</x:v>
      </x:c>
      <x:c r="F238" s="21" t="n">
        <x:v>1</x:v>
      </x:c>
      <x:c r="G238" s="17" t="n">
        <x:v>1900.1134</x:v>
      </x:c>
      <x:c r="H238" s="17" t="n">
        <x:f>G238*F238</x:f>
        <x:v>1900.1134</x:v>
      </x:c>
      <x:c r="I238" s="22" t="str">
        <x:f>HYPERLINK("https://etp-aktiv.ru/catalog/materialy/truboprovodnaya-armatura-i-komplektuyushchie/2000526786-U311/","Открыть позицию")</x:f>
        <x:v>Открыть позицию</x:v>
      </x:c>
    </x:row>
    <x:row r="239" ht="28" customHeight="1">
      <x:c r="A239" s="16" t="str">
        <x:v>Кемеровская ГРЭС</x:v>
      </x:c>
      <x:c r="B239" s="16" t="str">
        <x:v>2000526637-U311</x:v>
      </x:c>
      <x:c r="C239" s="16" t="str">
        <x:v>ШТОК 1084-100-6А DN50 PN16 КЛАПАНА</x:v>
      </x:c>
      <x:c r="D239" s="16" t="str">
        <x:v>ЗЧ трубопр арматуры</x:v>
      </x:c>
      <x:c r="E239" s="16" t="str">
        <x:v>ШТ</x:v>
      </x:c>
      <x:c r="F239" s="21" t="n">
        <x:v>6</x:v>
      </x:c>
      <x:c r="G239" s="17" t="n">
        <x:v>3355</x:v>
      </x:c>
      <x:c r="H239" s="17" t="n">
        <x:f>G239*F239</x:f>
        <x:v>20130</x:v>
      </x:c>
      <x:c r="I239" s="22" t="str">
        <x:f>HYPERLINK("https://etp-aktiv.ru/catalog/materialy/truboprovodnaya-armatura-i-komplektuyushchie/2000526637-U311/","Открыть позицию")</x:f>
        <x:v>Открыть позицию</x:v>
      </x:c>
    </x:row>
    <x:row r="240" ht="28" customHeight="1">
      <x:c r="A240" s="16" t="str">
        <x:v>Кемеровская ГРЭС</x:v>
      </x:c>
      <x:c r="B240" s="16" t="str">
        <x:v>2000555363-U311</x:v>
      </x:c>
      <x:c r="C240" s="16" t="str">
        <x:v>ШТУЦЕР 09Г2С 219*6-300 163 ОСТ34.10.761</x:v>
      </x:c>
      <x:c r="D240" s="16" t="str">
        <x:v>Детали фасонные</x:v>
      </x:c>
      <x:c r="E240" s="16" t="str">
        <x:v>ШТ</x:v>
      </x:c>
      <x:c r="F240" s="21" t="n">
        <x:v>1</x:v>
      </x:c>
      <x:c r="G240" s="17" t="n">
        <x:v>638.3040000000001</x:v>
      </x:c>
      <x:c r="H240" s="17" t="n">
        <x:f>G240*F240</x:f>
        <x:v>638.3040000000001</x:v>
      </x:c>
      <x:c r="I240" s="22" t="str">
        <x:f>HYPERLINK("https://etp-aktiv.ru/catalog/materialy/truboprovody/2000555363-U311/","Открыть позицию")</x:f>
        <x:v>Открыть позицию</x:v>
      </x:c>
    </x:row>
    <x:row r="241" ht="28" customHeight="1">
      <x:c r="A241" s="16" t="str">
        <x:v>Кемеровская ГРЭС</x:v>
      </x:c>
      <x:c r="B241" s="16" t="str">
        <x:v>2000555438-U311</x:v>
      </x:c>
      <x:c r="C241" s="16" t="str">
        <x:v>ШТУЦЕР 09Г2С 57*3-600 088 ОСТ34.10.761</x:v>
      </x:c>
      <x:c r="D241" s="16" t="str">
        <x:v>Детали фасонные</x:v>
      </x:c>
      <x:c r="E241" s="16" t="str">
        <x:v>ШТ</x:v>
      </x:c>
      <x:c r="F241" s="21" t="n">
        <x:v>33</x:v>
      </x:c>
      <x:c r="G241" s="17" t="n">
        <x:v>155.0986</x:v>
      </x:c>
      <x:c r="H241" s="17" t="n">
        <x:f>G241*F241</x:f>
        <x:v>5118.2538</x:v>
      </x:c>
      <x:c r="I241" s="22" t="str">
        <x:f>HYPERLINK("https://etp-aktiv.ru/catalog/materialy/truboprovody/2000555438-U311/","Открыть позицию")</x:f>
        <x:v>Открыть позицию</x:v>
      </x:c>
    </x:row>
    <x:row r="242" ht="28" customHeight="1">
      <x:c r="A242" s="16" t="str">
        <x:v>Кемеровская ГРЭС</x:v>
      </x:c>
      <x:c r="B242" s="16" t="str">
        <x:v>2000577379-U311</x:v>
      </x:c>
      <x:c r="C242" s="16" t="str">
        <x:v>ШТУЦЕР 20 12Х1МФ 04 СТО ЦКТИ 462.05</x:v>
      </x:c>
      <x:c r="D242" s="16" t="str">
        <x:v>Труб/элем ВД</x:v>
      </x:c>
      <x:c r="E242" s="16" t="str">
        <x:v>ШТ</x:v>
      </x:c>
      <x:c r="F242" s="21" t="n">
        <x:v>8</x:v>
      </x:c>
      <x:c r="G242" s="17" t="n">
        <x:v>347.6024</x:v>
      </x:c>
      <x:c r="H242" s="17" t="n">
        <x:f>G242*F242</x:f>
        <x:v>2780.8192</x:v>
      </x:c>
      <x:c r="I242" s="22" t="str">
        <x:f>HYPERLINK("https://etp-aktiv.ru/catalog/materialy/truboprovody/2000577379-U311/","Открыть позицию")</x:f>
        <x:v>Открыть позицию</x:v>
      </x:c>
    </x:row>
    <x:row r="243" ht="28" customHeight="1">
      <x:c r="A243" s="16" t="str">
        <x:v>Кемеровская ГРЭС</x:v>
      </x:c>
      <x:c r="B243" s="16" t="str">
        <x:v>2000555375-U311</x:v>
      </x:c>
      <x:c r="C243" s="16" t="str">
        <x:v>ШТУЦЕР В-10Г2 25*2-800 028 ОСТ34.10.761</x:v>
      </x:c>
      <x:c r="D243" s="16" t="str">
        <x:v>Детали фасонные</x:v>
      </x:c>
      <x:c r="E243" s="16" t="str">
        <x:v>ШТ</x:v>
      </x:c>
      <x:c r="F243" s="21" t="n">
        <x:v>9</x:v>
      </x:c>
      <x:c r="G243" s="17" t="n">
        <x:v>75.0056</x:v>
      </x:c>
      <x:c r="H243" s="17" t="n">
        <x:f>G243*F243</x:f>
        <x:v>675.0504</x:v>
      </x:c>
      <x:c r="I243" s="22" t="str">
        <x:f>HYPERLINK("https://etp-aktiv.ru/catalog/materialy/truboprovody/2000555375-U311/","Открыть позицию")</x:f>
        <x:v>Открыть позицию</x:v>
      </x:c>
    </x:row>
    <x:row r="244" ht="28" customHeight="1">
      <x:c r="A244" s="16" t="str">
        <x:v>Кемеровская ГРЭС</x:v>
      </x:c>
      <x:c r="B244" s="16" t="str">
        <x:v>2000555338-U311</x:v>
      </x:c>
      <x:c r="C244" s="16" t="str">
        <x:v>ШТУЦЕР СТ20 108*4-300 124 ОСТ34.10.761</x:v>
      </x:c>
      <x:c r="D244" s="16" t="str">
        <x:v>Детали фасонные</x:v>
      </x:c>
      <x:c r="E244" s="16" t="str">
        <x:v>ШТ</x:v>
      </x:c>
      <x:c r="F244" s="21" t="n">
        <x:v>1</x:v>
      </x:c>
      <x:c r="G244" s="17" t="n">
        <x:v>221.36899999999997</x:v>
      </x:c>
      <x:c r="H244" s="17" t="n">
        <x:f>G244*F244</x:f>
        <x:v>221.36899999999997</x:v>
      </x:c>
      <x:c r="I244" s="22" t="str">
        <x:f>HYPERLINK("https://etp-aktiv.ru/catalog/materialy/truboprovody/2000555338-U311/","Открыть позицию")</x:f>
        <x:v>Открыть позицию</x:v>
      </x:c>
    </x:row>
    <x:row r="245" ht="28" customHeight="1">
      <x:c r="A245" s="16" t="str">
        <x:v>Кемеровская ГРЭС</x:v>
      </x:c>
      <x:c r="B245" s="16" t="str">
        <x:v>2000555364-U311</x:v>
      </x:c>
      <x:c r="C245" s="16" t="str">
        <x:v>ШТУЦЕР СТ20 219*6-500 167 ОСТ34.10.761</x:v>
      </x:c>
      <x:c r="D245" s="16" t="str">
        <x:v>Детали фасонные</x:v>
      </x:c>
      <x:c r="E245" s="16" t="str">
        <x:v>ШТ</x:v>
      </x:c>
      <x:c r="F245" s="21" t="n">
        <x:v>2</x:v>
      </x:c>
      <x:c r="G245" s="17" t="n">
        <x:v>508.23979999999995</x:v>
      </x:c>
      <x:c r="H245" s="17" t="n">
        <x:f>G245*F245</x:f>
        <x:v>1016.4795999999999</x:v>
      </x:c>
      <x:c r="I245" s="22" t="str">
        <x:f>HYPERLINK("https://etp-aktiv.ru/catalog/materialy/truboprovody/2000555364-U311/","Открыть позицию")</x:f>
        <x:v>Открыть позицию</x:v>
      </x:c>
    </x:row>
    <x:row r="246" ht="28" customHeight="1">
      <x:c r="A246" s="16" t="str">
        <x:v>Кемеровская ГРЭС</x:v>
      </x:c>
      <x:c r="B246" s="16" t="str">
        <x:v>2000555430-U311</x:v>
      </x:c>
      <x:c r="C246" s="16" t="str">
        <x:v>ШТУЦЕР СТ20 57*3-250 086 ОСТ34.10.761</x:v>
      </x:c>
      <x:c r="D246" s="16" t="str">
        <x:v>Детали фасонные</x:v>
      </x:c>
      <x:c r="E246" s="16" t="str">
        <x:v>ШТ</x:v>
      </x:c>
      <x:c r="F246" s="21" t="n">
        <x:v>4</x:v>
      </x:c>
      <x:c r="G246" s="17" t="n">
        <x:v>108.2384</x:v>
      </x:c>
      <x:c r="H246" s="17" t="n">
        <x:f>G246*F246</x:f>
        <x:v>432.9536</x:v>
      </x:c>
      <x:c r="I246" s="22" t="str">
        <x:f>HYPERLINK("https://etp-aktiv.ru/catalog/materialy/truboprovody/2000555430-U311/","Открыть позицию")</x:f>
        <x:v>Открыть позицию</x:v>
      </x:c>
    </x:row>
    <x:row r="247" ht="28" customHeight="1">
      <x:c r="A247" s="16" t="str">
        <x:v>Кемеровская ТЭЦ</x:v>
      </x:c>
      <x:c r="B247" s="16" t="str">
        <x:v>2000544862-U312</x:v>
      </x:c>
      <x:c r="C247" s="16" t="str">
        <x:v>АРМАТУРА M22-LC-G 216909-ЗЕЛЕНЫЙ-220В</x:v>
      </x:c>
      <x:c r="D247" s="16" t="str">
        <x:v>Осветительная продукция и изделия электроустановочные</x:v>
      </x:c>
      <x:c r="E247" s="16" t="str">
        <x:v>ШТ</x:v>
      </x:c>
      <x:c r="F247" s="21" t="n">
        <x:v>14</x:v>
      </x:c>
      <x:c r="G247" s="17" t="n">
        <x:v>299.66859999999997</x:v>
      </x:c>
      <x:c r="H247" s="17" t="n">
        <x:f>G247*F247</x:f>
        <x:v>4195.3604</x:v>
      </x:c>
      <x:c r="I247" s="22" t="str">
        <x:f>HYPERLINK("https://etp-aktiv.ru/catalog/materialy/ehlektrotekhnicheskie-materialy/2000544862-U312/","Открыть позицию")</x:f>
        <x:v>Открыть позицию</x:v>
      </x:c>
    </x:row>
    <x:row r="248" ht="28" customHeight="1">
      <x:c r="A248" s="16" t="str">
        <x:v>Кемеровская ТЭЦ</x:v>
      </x:c>
      <x:c r="B248" s="16" t="str">
        <x:v>2000544863-U312</x:v>
      </x:c>
      <x:c r="C248" s="16" t="str">
        <x:v>АРМАТУРА M22-LC-R 216908-КРАСНЫЙ-220В</x:v>
      </x:c>
      <x:c r="D248" s="16" t="str">
        <x:v>Осветительная продукция и изделия электроустановочные</x:v>
      </x:c>
      <x:c r="E248" s="16" t="str">
        <x:v>ШТ</x:v>
      </x:c>
      <x:c r="F248" s="21" t="n">
        <x:v>14</x:v>
      </x:c>
      <x:c r="G248" s="17" t="n">
        <x:v>299.66859999999997</x:v>
      </x:c>
      <x:c r="H248" s="17" t="n">
        <x:f>G248*F248</x:f>
        <x:v>4195.3604</x:v>
      </x:c>
      <x:c r="I248" s="22" t="str">
        <x:f>HYPERLINK("https://etp-aktiv.ru/catalog/materialy/ehlektrotekhnicheskie-materialy/2000544863-U312/","Открыть позицию")</x:f>
        <x:v>Открыть позицию</x:v>
      </x:c>
    </x:row>
    <x:row r="249" ht="28" customHeight="1">
      <x:c r="A249" s="16" t="str">
        <x:v>Кемеровская ТЭЦ</x:v>
      </x:c>
      <x:c r="B249" s="16" t="str">
        <x:v>2000555458-U312</x:v>
      </x:c>
      <x:c r="C249" s="16" t="str">
        <x:v>ЗАГЛУШКА НАРУЖНАЯ 38 ТУ40-461-806-60</x:v>
      </x:c>
      <x:c r="D249" s="16" t="str">
        <x:v>Детали фасонные</x:v>
      </x:c>
      <x:c r="E249" s="16" t="str">
        <x:v>ШТ</x:v>
      </x:c>
      <x:c r="F249" s="21" t="n">
        <x:v>40</x:v>
      </x:c>
      <x:c r="G249" s="17" t="n">
        <x:v>24.5586</x:v>
      </x:c>
      <x:c r="H249" s="17" t="n">
        <x:f>G249*F249</x:f>
        <x:v>982.3439999999999</x:v>
      </x:c>
      <x:c r="I249" s="22" t="str">
        <x:f>HYPERLINK("https://etp-aktiv.ru/catalog/materialy/truboprovody/2000555458-U312/","Открыть позицию")</x:f>
        <x:v>Открыть позицию</x:v>
      </x:c>
    </x:row>
    <x:row r="250" ht="28" customHeight="1">
      <x:c r="A250" s="16" t="str">
        <x:v>Кемеровская ТЭЦ</x:v>
      </x:c>
      <x:c r="B250" s="16" t="str">
        <x:v>2000639303-U312</x:v>
      </x:c>
      <x:c r="C250" s="16" t="str">
        <x:v>ЗАГЛУШКА ТРАНСП НАРУЖ 83 ТУ40-461-806-60</x:v>
      </x:c>
      <x:c r="D250" s="16" t="str">
        <x:v>Детали фасонные</x:v>
      </x:c>
      <x:c r="E250" s="16" t="str">
        <x:v>ШТ</x:v>
      </x:c>
      <x:c r="F250" s="21" t="n">
        <x:v>432</x:v>
      </x:c>
      <x:c r="G250" s="17" t="n">
        <x:v>29.9998</x:v>
      </x:c>
      <x:c r="H250" s="17" t="n">
        <x:f>G250*F250</x:f>
        <x:v>12959.9136</x:v>
      </x:c>
      <x:c r="I250" s="22" t="str">
        <x:f>HYPERLINK("https://etp-aktiv.ru/catalog/materialy/truboprovody/2000639303-U312/","Открыть позицию")</x:f>
        <x:v>Открыть позицию</x:v>
      </x:c>
    </x:row>
    <x:row r="251" ht="28" customHeight="1">
      <x:c r="A251" s="16" t="str">
        <x:v>Кемеровская ТЭЦ</x:v>
      </x:c>
      <x:c r="B251" s="16" t="str">
        <x:v>2000609755-U312</x:v>
      </x:c>
      <x:c r="C251" s="16" t="str">
        <x:v>ЗАТВОР Ф 50/10 ВЧ/ВЧ PTFE ФЛ ЭП</x:v>
      </x:c>
      <x:c r="D251" s="16" t="str">
        <x:v>Затворы чугунные поворотные</x:v>
      </x:c>
      <x:c r="E251" s="16" t="str">
        <x:v>ШТ</x:v>
      </x:c>
      <x:c r="F251" s="21" t="n">
        <x:v>1</x:v>
      </x:c>
      <x:c r="G251" s="17" t="n">
        <x:v>54900</x:v>
      </x:c>
      <x:c r="H251" s="17" t="n">
        <x:f>G251*F251</x:f>
        <x:v>54900</x:v>
      </x:c>
      <x:c r="I251" s="22" t="str">
        <x:f>HYPERLINK("https://etp-aktiv.ru/catalog/materialy/truboprovodnaya-armatura-i-komplektuyushchie/2000609755-U312/","Открыть позицию")</x:f>
        <x:v>Открыть позицию</x:v>
      </x:c>
    </x:row>
    <x:row r="252" ht="28" customHeight="1">
      <x:c r="A252" s="16" t="str">
        <x:v>Кемеровская ТЭЦ</x:v>
      </x:c>
      <x:c r="B252" s="16" t="str">
        <x:v>2000539540-U312</x:v>
      </x:c>
      <x:c r="C252" s="16" t="str">
        <x:v>КЛАПАН 15Б3Р DN32 PN16 Р.П МАХОВИК ФЛ A</x:v>
      </x:c>
      <x:c r="D252" s="16" t="str">
        <x:v>Арматура из медных сплавов</x:v>
      </x:c>
      <x:c r="E252" s="16" t="str">
        <x:v>ШТ</x:v>
      </x:c>
      <x:c r="F252" s="21" t="n">
        <x:v>2</x:v>
      </x:c>
      <x:c r="G252" s="17" t="n">
        <x:v>663.375</x:v>
      </x:c>
      <x:c r="H252" s="17" t="n">
        <x:f>G252*F252</x:f>
        <x:v>1326.75</x:v>
      </x:c>
      <x:c r="I252" s="22" t="str">
        <x:f>HYPERLINK("https://etp-aktiv.ru/catalog/materialy/truboprovodnaya-armatura-i-komplektuyushchie/2000539540-U312/","Открыть позицию")</x:f>
        <x:v>Открыть позицию</x:v>
      </x:c>
    </x:row>
    <x:row r="253" ht="28" customHeight="1">
      <x:c r="A253" s="16" t="str">
        <x:v>Кемеровская ТЭЦ</x:v>
      </x:c>
      <x:c r="B253" s="16" t="str">
        <x:v>2000568039-U312</x:v>
      </x:c>
      <x:c r="C253" s="16" t="str">
        <x:v>КЛАПАН ОБР CB5440 50/16 Б/П М/Ф A P265GH</x:v>
      </x:c>
      <x:c r="D253" s="16" t="str">
        <x:v>Обратная арматура</x:v>
      </x:c>
      <x:c r="E253" s="16" t="str">
        <x:v>ШТ</x:v>
      </x:c>
      <x:c r="F253" s="21" t="n">
        <x:v>2</x:v>
      </x:c>
      <x:c r="G253" s="17" t="n">
        <x:v>2022.1499999999999</x:v>
      </x:c>
      <x:c r="H253" s="17" t="n">
        <x:f>G253*F253</x:f>
        <x:v>4044.2999999999997</x:v>
      </x:c>
      <x:c r="I253" s="22" t="str">
        <x:f>HYPERLINK("https://etp-aktiv.ru/catalog/materialy/truboprovodnaya-armatura-i-komplektuyushchie/2000568039-U312/","Открыть позицию")</x:f>
        <x:v>Открыть позицию</x:v>
      </x:c>
    </x:row>
    <x:row r="254" ht="28" customHeight="1">
      <x:c r="A254" s="16" t="str">
        <x:v>Кемеровская ТЭЦ</x:v>
      </x:c>
      <x:c r="B254" s="16" t="str">
        <x:v>2000003674-U312</x:v>
      </x:c>
      <x:c r="C254" s="16" t="str">
        <x:v>КОЛПАЧОК 8БП 307.026 К ВМПЭ-10-630</x:v>
      </x:c>
      <x:c r="D254" s="16" t="str">
        <x:v>Линейно-подвесная арматура</x:v>
      </x:c>
      <x:c r="E254" s="16" t="str">
        <x:v>ШТ</x:v>
      </x:c>
      <x:c r="F254" s="21" t="n">
        <x:v>63</x:v>
      </x:c>
      <x:c r="G254" s="17" t="n">
        <x:v>79.4952</x:v>
      </x:c>
      <x:c r="H254" s="17" t="n">
        <x:f>G254*F254</x:f>
        <x:v>5008.1975999999995</x:v>
      </x:c>
      <x:c r="I254" s="22" t="str">
        <x:f>HYPERLINK("https://etp-aktiv.ru/catalog/materialy/ehlektrotekhnicheskie-materialy/2000003674-U312/","Открыть позицию")</x:f>
        <x:v>Открыть позицию</x:v>
      </x:c>
    </x:row>
    <x:row r="255" ht="28" customHeight="1">
      <x:c r="A255" s="16" t="str">
        <x:v>Кемеровская ТЭЦ</x:v>
      </x:c>
      <x:c r="B255" s="16" t="str">
        <x:v>2000876588-U312</x:v>
      </x:c>
      <x:c r="C255" s="16" t="str">
        <x:v>КРАН ШАРОВЫЙ ПП ЛЦ ГАЗ М DN15 PN16 РП</x:v>
      </x:c>
      <x:c r="D255" s="16" t="str">
        <x:v>Арматура из медных сплавов</x:v>
      </x:c>
      <x:c r="E255" s="16" t="str">
        <x:v>ШТ</x:v>
      </x:c>
      <x:c r="F255" s="21" t="n">
        <x:v>2</x:v>
      </x:c>
      <x:c r="G255" s="17" t="n">
        <x:v>2446.4782</x:v>
      </x:c>
      <x:c r="H255" s="17" t="n">
        <x:f>G255*F255</x:f>
        <x:v>4892.9564</x:v>
      </x:c>
      <x:c r="I255" s="22" t="str">
        <x:f>HYPERLINK("https://etp-aktiv.ru/catalog/materialy/truboprovodnaya-armatura-i-komplektuyushchie/2000876588-U312/","Открыть позицию")</x:f>
        <x:v>Открыть позицию</x:v>
      </x:c>
    </x:row>
    <x:row r="256" ht="28" customHeight="1">
      <x:c r="A256" s="16" t="str">
        <x:v>Кемеровская ТЭЦ</x:v>
      </x:c>
      <x:c r="B256" s="16" t="str">
        <x:v>2000258359-U312</x:v>
      </x:c>
      <x:c r="C256" s="16" t="str">
        <x:v>ОТВОД 45° СТ20 219*6 ГОСТ17375-01</x:v>
      </x:c>
      <x:c r="D256" s="16" t="str">
        <x:v>Детали фасонные</x:v>
      </x:c>
      <x:c r="E256" s="16" t="str">
        <x:v>ШТ</x:v>
      </x:c>
      <x:c r="F256" s="21" t="n">
        <x:v>4</x:v>
      </x:c>
      <x:c r="G256" s="17" t="n">
        <x:v>1710.745</x:v>
      </x:c>
      <x:c r="H256" s="17" t="n">
        <x:f>G256*F256</x:f>
        <x:v>6842.98</x:v>
      </x:c>
      <x:c r="I256" s="22" t="str">
        <x:f>HYPERLINK("https://etp-aktiv.ru/catalog/materialy/truboprovody/2000258359-U312/","Открыть позицию")</x:f>
        <x:v>Открыть позицию</x:v>
      </x:c>
    </x:row>
    <x:row r="257" ht="28" customHeight="1">
      <x:c r="A257" s="16" t="str">
        <x:v>Кемеровская ТЭЦ</x:v>
      </x:c>
      <x:c r="B257" s="16" t="str">
        <x:v>2000261144-U312</x:v>
      </x:c>
      <x:c r="C257" s="16" t="str">
        <x:v>ОТВОД 45° СТ20 DN108 5 ГОСТ17375-01</x:v>
      </x:c>
      <x:c r="D257" s="16" t="str">
        <x:v>Детали фасонные</x:v>
      </x:c>
      <x:c r="E257" s="16" t="str">
        <x:v>ШТ</x:v>
      </x:c>
      <x:c r="F257" s="21" t="n">
        <x:v>1</x:v>
      </x:c>
      <x:c r="G257" s="17" t="n">
        <x:v>455.97499999999997</x:v>
      </x:c>
      <x:c r="H257" s="17" t="n">
        <x:f>G257*F257</x:f>
        <x:v>455.97499999999997</x:v>
      </x:c>
      <x:c r="I257" s="22" t="str">
        <x:f>HYPERLINK("https://etp-aktiv.ru/catalog/materialy/truboprovody/2000261144-U312/","Открыть позицию")</x:f>
        <x:v>Открыть позицию</x:v>
      </x:c>
    </x:row>
    <x:row r="258" ht="28" customHeight="1">
      <x:c r="A258" s="16" t="str">
        <x:v>Кемеровская ТЭЦ</x:v>
      </x:c>
      <x:c r="B258" s="16" t="str">
        <x:v>2000000904-U312</x:v>
      </x:c>
      <x:c r="C258" s="16" t="str">
        <x:v>ПАТРУБОК 240-1014138</x:v>
      </x:c>
      <x:c r="D258" s="16" t="str">
        <x:v>Запасные части к автотранспортному оборудованию</x:v>
      </x:c>
      <x:c r="E258" s="16" t="str">
        <x:v>ШТ</x:v>
      </x:c>
      <x:c r="F258" s="21" t="n">
        <x:v>1</x:v>
      </x:c>
      <x:c r="G258" s="17" t="n">
        <x:v>8533.375399999999</x:v>
      </x:c>
      <x:c r="H258" s="17" t="n">
        <x:f>G258*F258</x:f>
        <x:v>8533.375399999999</x:v>
      </x:c>
      <x:c r="I258" s="22" t="str">
        <x:f>HYPERLINK("https://etp-aktiv.ru/catalog/materialy/zapasnye-chasti-k-avtotransportnomu-oborudovaniyu/2000000904-U312/","Открыть позицию")</x:f>
        <x:v>Открыть позицию</x:v>
      </x:c>
    </x:row>
    <x:row r="259" ht="28" customHeight="1">
      <x:c r="A259" s="16" t="str">
        <x:v>Кемеровская ТЭЦ</x:v>
      </x:c>
      <x:c r="B259" s="16" t="str">
        <x:v>2000554901-U312</x:v>
      </x:c>
      <x:c r="C259" s="16" t="str">
        <x:v>ПЕРЕХОД К 09Г2С 133*4-89*3,5 ГОСТ17378</x:v>
      </x:c>
      <x:c r="D259" s="16" t="str">
        <x:v>Детали фасонные</x:v>
      </x:c>
      <x:c r="E259" s="16" t="str">
        <x:v>ШТ</x:v>
      </x:c>
      <x:c r="F259" s="21" t="n">
        <x:v>2</x:v>
      </x:c>
      <x:c r="G259" s="17" t="n">
        <x:v>301.99879999999996</x:v>
      </x:c>
      <x:c r="H259" s="17" t="n">
        <x:f>G259*F259</x:f>
        <x:v>603.9975999999999</x:v>
      </x:c>
      <x:c r="I259" s="22" t="str">
        <x:f>HYPERLINK("https://etp-aktiv.ru/catalog/materialy/truboprovody/2000554901-U312/","Открыть позицию")</x:f>
        <x:v>Открыть позицию</x:v>
      </x:c>
    </x:row>
    <x:row r="260" ht="28" customHeight="1">
      <x:c r="A260" s="16" t="str">
        <x:v>Кемеровская ТЭЦ</x:v>
      </x:c>
      <x:c r="B260" s="16" t="str">
        <x:v>2000256526-U312</x:v>
      </x:c>
      <x:c r="C260" s="16" t="str">
        <x:v>ПЕРЕХОД К СТ20 100*12 80 12 ОСТ108.318.1</x:v>
      </x:c>
      <x:c r="D260" s="16" t="str">
        <x:v>Детали фасонные</x:v>
      </x:c>
      <x:c r="E260" s="16" t="str">
        <x:v>ШТ</x:v>
      </x:c>
      <x:c r="F260" s="21" t="n">
        <x:v>2</x:v>
      </x:c>
      <x:c r="G260" s="17" t="n">
        <x:v>5485.425</x:v>
      </x:c>
      <x:c r="H260" s="17" t="n">
        <x:f>G260*F260</x:f>
        <x:v>10970.85</x:v>
      </x:c>
      <x:c r="I260" s="22" t="str">
        <x:f>HYPERLINK("https://etp-aktiv.ru/catalog/materialy/truboprovody/2000256526-U312/","Открыть позицию")</x:f>
        <x:v>Открыть позицию</x:v>
      </x:c>
    </x:row>
    <x:row r="261" ht="28" customHeight="1">
      <x:c r="A261" s="16" t="str">
        <x:v>Кемеровская ТЭЦ</x:v>
      </x:c>
      <x:c r="B261" s="16" t="str">
        <x:v>2000554964-U312</x:v>
      </x:c>
      <x:c r="C261" s="16" t="str">
        <x:v>ПЕРЕХОД К СТ20 325*8-273*7 ГОСТ17378-01</x:v>
      </x:c>
      <x:c r="D261" s="16" t="str">
        <x:v>Детали фасонные</x:v>
      </x:c>
      <x:c r="E261" s="16" t="str">
        <x:v>ШТ</x:v>
      </x:c>
      <x:c r="F261" s="21" t="n">
        <x:v>1</x:v>
      </x:c>
      <x:c r="G261" s="17" t="n">
        <x:v>1602.1162</x:v>
      </x:c>
      <x:c r="H261" s="17" t="n">
        <x:f>G261*F261</x:f>
        <x:v>1602.1162</x:v>
      </x:c>
      <x:c r="I261" s="22" t="str">
        <x:f>HYPERLINK("https://etp-aktiv.ru/catalog/materialy/truboprovody/2000554964-U312/","Открыть позицию")</x:f>
        <x:v>Открыть позицию</x:v>
      </x:c>
    </x:row>
    <x:row r="262" ht="28" customHeight="1">
      <x:c r="A262" s="16" t="str">
        <x:v>Кемеровская ТЭЦ</x:v>
      </x:c>
      <x:c r="B262" s="16" t="str">
        <x:v>2000560657-U312</x:v>
      </x:c>
      <x:c r="C262" s="16" t="str">
        <x:v>ТРУБА 12Х18Н10Т 20*2,5 ГОСТ9941-81</x:v>
      </x:c>
      <x:c r="D262" s="16" t="str">
        <x:v>Трубы нержавеющ(сварные и бесшовн) кроме котельн выс.давл</x:v>
      </x:c>
      <x:c r="E262" s="16" t="str">
        <x:v>Т</x:v>
      </x:c>
      <x:c r="F262" s="30" t="n">
        <x:v>0.003</x:v>
      </x:c>
      <x:c r="G262" s="17" t="n">
        <x:v>1167543.05</x:v>
      </x:c>
      <x:c r="H262" s="17" t="n">
        <x:f>G262*F262</x:f>
        <x:v>3502.62915</x:v>
      </x:c>
      <x:c r="I262" s="22" t="str">
        <x:f>HYPERLINK("https://etp-aktiv.ru/catalog/materialy/truby-stalnye-i-polimernye/2000560657-U312/","Открыть позицию")</x:f>
        <x:v>Открыть позицию</x:v>
      </x:c>
    </x:row>
    <x:row r="263" ht="28" customHeight="1">
      <x:c r="A263" s="16" t="str">
        <x:v>Кемеровская ТЭЦ</x:v>
      </x:c>
      <x:c r="B263" s="16" t="str">
        <x:v>2000699709-U312</x:v>
      </x:c>
      <x:c r="C263" s="16" t="str">
        <x:v>ТРУБА Б/Ш Х/Д СТ20 16*2,5 ГОСТ8734-75</x:v>
      </x:c>
      <x:c r="D263" s="16" t="str">
        <x:v>Трубы черные бесшовные</x:v>
      </x:c>
      <x:c r="E263" s="16" t="str">
        <x:v>Т</x:v>
      </x:c>
      <x:c r="F263" s="30" t="n">
        <x:v>0.07</x:v>
      </x:c>
      <x:c r="G263" s="17" t="n">
        <x:v>155550</x:v>
      </x:c>
      <x:c r="H263" s="17" t="n">
        <x:f>G263*F263</x:f>
        <x:v>10888.500000000002</x:v>
      </x:c>
      <x:c r="I263" s="22" t="str">
        <x:f>HYPERLINK("https://etp-aktiv.ru/catalog/materialy/truby-stalnye-i-polimernye/2000699709-U312/","Открыть позицию")</x:f>
        <x:v>Открыть позицию</x:v>
      </x:c>
    </x:row>
    <x:row r="264" ht="28" customHeight="1">
      <x:c r="A264" s="16" t="str">
        <x:v>Кемеровская ТЭЦ</x:v>
      </x:c>
      <x:c r="B264" s="16" t="str">
        <x:v>2000560558-U312</x:v>
      </x:c>
      <x:c r="C264" s="16" t="str">
        <x:v>ТРУБА ТИП Т В-20 273*6 ГОСТ10705-80</x:v>
      </x:c>
      <x:c r="D264" s="16" t="str">
        <x:v>Трубы черные сварные малого и среднего диаметра</x:v>
      </x:c>
      <x:c r="E264" s="16" t="str">
        <x:v>Т</x:v>
      </x:c>
      <x:c r="F264" s="30" t="n">
        <x:v>0.499</x:v>
      </x:c>
      <x:c r="G264" s="17" t="n">
        <x:v>32692.95</x:v>
      </x:c>
      <x:c r="H264" s="17" t="n">
        <x:f>G264*F264</x:f>
        <x:v>16313.78205</x:v>
      </x:c>
      <x:c r="I264" s="22" t="str">
        <x:f>HYPERLINK("https://etp-aktiv.ru/catalog/materialy/truby-stalnye-i-polimernye/2000560558-U312/","Открыть позицию")</x:f>
        <x:v>Открыть позицию</x:v>
      </x:c>
    </x:row>
    <x:row r="265" ht="28" customHeight="1">
      <x:c r="A265" s="16" t="str">
        <x:v>Кемеровская ТЭЦ</x:v>
      </x:c>
      <x:c r="B265" s="16" t="str">
        <x:v>2000068162-U312</x:v>
      </x:c>
      <x:c r="C265" s="16" t="str">
        <x:v>ТРУБА Х/Д 20 20*3 ГОСТ8734-75</x:v>
      </x:c>
      <x:c r="D265" s="16" t="str">
        <x:v>Трубы черные бесшовные</x:v>
      </x:c>
      <x:c r="E265" s="16" t="str">
        <x:v>Т</x:v>
      </x:c>
      <x:c r="F265" s="30" t="n">
        <x:v>0.015</x:v>
      </x:c>
      <x:c r="G265" s="17" t="n">
        <x:v>178737.32</x:v>
      </x:c>
      <x:c r="H265" s="17" t="n">
        <x:f>G265*F265</x:f>
        <x:v>2681.0598</x:v>
      </x:c>
      <x:c r="I265" s="22" t="str">
        <x:f>HYPERLINK("https://etp-aktiv.ru/catalog/materialy/truby-stalnye-i-polimernye/2000068162-U312/","Открыть позицию")</x:f>
        <x:v>Открыть позицию</x:v>
      </x:c>
    </x:row>
    <x:row r="266" ht="28" customHeight="1">
      <x:c r="A266" s="16" t="str">
        <x:v>Кемеровская ТЭЦ</x:v>
      </x:c>
      <x:c r="B266" s="16" t="str">
        <x:v>2000004918-U312</x:v>
      </x:c>
      <x:c r="C266" s="16" t="str">
        <x:v>ТРУБКА 8БП 724.124 ВМПЭ-10-630</x:v>
      </x:c>
      <x:c r="D266" s="16" t="str">
        <x:v>Прочие электротехнические материалы</x:v>
      </x:c>
      <x:c r="E266" s="16" t="str">
        <x:v>ШТ</x:v>
      </x:c>
      <x:c r="F266" s="21" t="n">
        <x:v>66</x:v>
      </x:c>
      <x:c r="G266" s="17" t="n">
        <x:v>180.255</x:v>
      </x:c>
      <x:c r="H266" s="17" t="n">
        <x:f>G266*F266</x:f>
        <x:v>11896.83</x:v>
      </x:c>
      <x:c r="I266" s="22" t="str">
        <x:f>HYPERLINK("https://etp-aktiv.ru/catalog/materialy/ehlektrotekhnicheskie-materialy/2000004918-U312/","Открыть позицию")</x:f>
        <x:v>Открыть позицию</x:v>
      </x:c>
    </x:row>
    <x:row r="267" ht="28" customHeight="1">
      <x:c r="A267" s="16" t="str">
        <x:v>Кемеровская ТЭЦ</x:v>
      </x:c>
      <x:c r="B267" s="16" t="str">
        <x:v>2000524576-U312</x:v>
      </x:c>
      <x:c r="C267" s="16" t="str">
        <x:v>ТРУБКА 8БП.724.124-02</x:v>
      </x:c>
      <x:c r="D267" s="16" t="str">
        <x:v>Запасные части к выключателям</x:v>
      </x:c>
      <x:c r="E267" s="16" t="str">
        <x:v>ШТ</x:v>
      </x:c>
      <x:c r="F267" s="21" t="n">
        <x:v>5</x:v>
      </x:c>
      <x:c r="G267" s="17" t="n">
        <x:v>79.9222</x:v>
      </x:c>
      <x:c r="H267" s="17" t="n">
        <x:f>G267*F267</x:f>
        <x:v>399.611</x:v>
      </x:c>
      <x:c r="I267" s="22" t="str">
        <x:f>HYPERLINK("https://etp-aktiv.ru/catalog/materialy/ehlektrotekhnicheskie-materialy/2000524576-U312/","Открыть позицию")</x:f>
        <x:v>Открыть позицию</x:v>
      </x:c>
    </x:row>
    <x:row r="268" ht="28" customHeight="1">
      <x:c r="A268" s="16" t="str">
        <x:v>Кемеровская ТЭЦ</x:v>
      </x:c>
      <x:c r="B268" s="16" t="str">
        <x:v>2000548675-U312</x:v>
      </x:c>
      <x:c r="C268" s="16" t="str">
        <x:v>ТРУБКА ПВХ 305 ТВ-40 3ММ БЕЛ ГОСТ19034</x:v>
      </x:c>
      <x:c r="D268" s="16" t="str">
        <x:v>Электроизоляционные материалы</x:v>
      </x:c>
      <x:c r="E268" s="16" t="str">
        <x:v>КГ</x:v>
      </x:c>
      <x:c r="F268" s="30" t="n">
        <x:v>0.5</x:v>
      </x:c>
      <x:c r="G268" s="17" t="n">
        <x:v>215.9034</x:v>
      </x:c>
      <x:c r="H268" s="17" t="n">
        <x:f>G268*F268</x:f>
        <x:v>107.9517</x:v>
      </x:c>
      <x:c r="I268" s="22" t="str">
        <x:f>HYPERLINK("https://etp-aktiv.ru/catalog/materialy/ehlektroizolyacionnye-materialy/2000548675-U312/","Открыть позицию")</x:f>
        <x:v>Открыть позицию</x:v>
      </x:c>
    </x:row>
    <x:row r="269" ht="28" customHeight="1">
      <x:c r="A269" s="16" t="str">
        <x:v>Кемеровская ТЭЦ</x:v>
      </x:c>
      <x:c r="B269" s="16" t="str">
        <x:v>2000628066-U312</x:v>
      </x:c>
      <x:c r="C269" s="16" t="str">
        <x:v>ФЛАНЕЦ 12Х18Н10Т DN100 PN16 ИСП1 12821</x:v>
      </x:c>
      <x:c r="D269" s="16" t="str">
        <x:v>Детали фасонные</x:v>
      </x:c>
      <x:c r="E269" s="16" t="str">
        <x:v>ШТ</x:v>
      </x:c>
      <x:c r="F269" s="21" t="n">
        <x:v>4</x:v>
      </x:c>
      <x:c r="G269" s="17" t="n">
        <x:v>3699.0643999999998</x:v>
      </x:c>
      <x:c r="H269" s="17" t="n">
        <x:f>G269*F269</x:f>
        <x:v>14796.257599999999</x:v>
      </x:c>
      <x:c r="I269" s="22" t="str">
        <x:f>HYPERLINK("https://etp-aktiv.ru/catalog/materialy/truboprovody/2000628066-U312/","Открыть позицию")</x:f>
        <x:v>Открыть позицию</x:v>
      </x:c>
    </x:row>
    <x:row r="270" ht="28" customHeight="1">
      <x:c r="A270" s="16" t="str">
        <x:v>Кемеровская ТЭЦ</x:v>
      </x:c>
      <x:c r="B270" s="16" t="str">
        <x:v>2000009573-U312</x:v>
      </x:c>
      <x:c r="C270" s="16" t="str">
        <x:v>ФЛАНЕЦ СТ20 DN200 PN16 ИСП1 ГОСТ12820-80</x:v>
      </x:c>
      <x:c r="D270" s="16" t="str">
        <x:v>Детали фасонные</x:v>
      </x:c>
      <x:c r="E270" s="16" t="str">
        <x:v>ШТ</x:v>
      </x:c>
      <x:c r="F270" s="21" t="n">
        <x:v>2</x:v>
      </x:c>
      <x:c r="G270" s="17" t="n">
        <x:v>2668.75</x:v>
      </x:c>
      <x:c r="H270" s="17" t="n">
        <x:f>G270*F270</x:f>
        <x:v>5337.5</x:v>
      </x:c>
      <x:c r="I270" s="22" t="str">
        <x:f>HYPERLINK("https://etp-aktiv.ru/catalog/materialy/truboprovody/2000009573-U312/","Открыть позицию")</x:f>
        <x:v>Открыть позицию</x:v>
      </x:c>
    </x:row>
    <x:row r="271" ht="28" customHeight="1">
      <x:c r="A271" s="16" t="str">
        <x:v>Кемеровская теплосетевая компания</x:v>
      </x:c>
      <x:c r="B271" s="16" t="str">
        <x:v>2000126194-U121</x:v>
      </x:c>
      <x:c r="C271" s="16" t="str">
        <x:v>АРМАТУРА А-I СТ3 D16ММ ГОСТ5781-82</x:v>
      </x:c>
      <x:c r="D271" s="16" t="str">
        <x:v>Металлопрокат черный</x:v>
      </x:c>
      <x:c r="E271" s="16" t="str">
        <x:v>Т</x:v>
      </x:c>
      <x:c r="F271" s="30" t="n">
        <x:v>0.002</x:v>
      </x:c>
      <x:c r="G271" s="17" t="n">
        <x:v>53619</x:v>
      </x:c>
      <x:c r="H271" s="17" t="n">
        <x:f>G271*F271</x:f>
        <x:v>107.238</x:v>
      </x:c>
      <x:c r="I271" s="22" t="str">
        <x:f>HYPERLINK("https://etp-aktiv.ru/catalog/materialy/metalloprodukciya/2000126194-U121/","Открыть позицию")</x:f>
        <x:v>Открыть позицию</x:v>
      </x:c>
    </x:row>
    <x:row r="272" ht="28" customHeight="1">
      <x:c r="A272" s="16" t="str">
        <x:v>Кемеровская теплосетевая компания</x:v>
      </x:c>
      <x:c r="B272" s="16" t="str">
        <x:v>2000136643-U121</x:v>
      </x:c>
      <x:c r="C272" s="16" t="str">
        <x:v>АРМАТУРА А-I СТ3 D6ММ ГОСТ5781-82</x:v>
      </x:c>
      <x:c r="D272" s="16" t="str">
        <x:v>Металлопрокат черный</x:v>
      </x:c>
      <x:c r="E272" s="16" t="str">
        <x:v>Т</x:v>
      </x:c>
      <x:c r="F272" s="30" t="n">
        <x:v>0.013</x:v>
      </x:c>
      <x:c r="G272" s="17" t="n">
        <x:v>66642.5</x:v>
      </x:c>
      <x:c r="H272" s="17" t="n">
        <x:f>G272*F272</x:f>
        <x:v>866.3525</x:v>
      </x:c>
      <x:c r="I272" s="22" t="str">
        <x:f>HYPERLINK("https://etp-aktiv.ru/catalog/materialy/metalloprodukciya/2000136643-U121/","Открыть позицию")</x:f>
        <x:v>Открыть позицию</x:v>
      </x:c>
    </x:row>
    <x:row r="273" ht="28" customHeight="1">
      <x:c r="A273" s="16" t="str">
        <x:v>Кемеровская теплосетевая компания</x:v>
      </x:c>
      <x:c r="B273" s="16" t="str">
        <x:v>2000015247-U121</x:v>
      </x:c>
      <x:c r="C273" s="16" t="str">
        <x:v>АРМАТУРА А-III 25Г2С D14ММ ГОСТ5781-82</x:v>
      </x:c>
      <x:c r="D273" s="16" t="str">
        <x:v>Металлопрокат черный</x:v>
      </x:c>
      <x:c r="E273" s="16" t="str">
        <x:v>Т</x:v>
      </x:c>
      <x:c r="F273" s="30" t="n">
        <x:v>0.016</x:v>
      </x:c>
      <x:c r="G273" s="17" t="n">
        <x:v>39455.922399999996</x:v>
      </x:c>
      <x:c r="H273" s="17" t="n">
        <x:f>G273*F273</x:f>
        <x:v>631.2947584</x:v>
      </x:c>
      <x:c r="I273" s="22" t="str">
        <x:f>HYPERLINK("https://etp-aktiv.ru/catalog/materialy/metalloprodukciya/2000015247-U121/","Открыть позицию")</x:f>
        <x:v>Открыть позицию</x:v>
      </x:c>
    </x:row>
    <x:row r="274" ht="28" customHeight="1">
      <x:c r="A274" s="16" t="str">
        <x:v>Кемеровская теплосетевая компания</x:v>
      </x:c>
      <x:c r="B274" s="16" t="str">
        <x:v>2000015248-U121</x:v>
      </x:c>
      <x:c r="C274" s="16" t="str">
        <x:v>АРМАТУРА А-III 25Г2С D16ММ ГОСТ5781-82</x:v>
      </x:c>
      <x:c r="D274" s="16" t="str">
        <x:v>Металлопрокат черный</x:v>
      </x:c>
      <x:c r="E274" s="16" t="str">
        <x:v>Т</x:v>
      </x:c>
      <x:c r="F274" s="30" t="n">
        <x:v>0.177</x:v>
      </x:c>
      <x:c r="G274" s="17" t="n">
        <x:v>53388.5908</x:v>
      </x:c>
      <x:c r="H274" s="17" t="n">
        <x:f>G274*F274</x:f>
        <x:v>9449.780571599998</x:v>
      </x:c>
      <x:c r="I274" s="22" t="str">
        <x:f>HYPERLINK("https://etp-aktiv.ru/catalog/materialy/metalloprodukciya/2000015248-U121/","Открыть позицию")</x:f>
        <x:v>Открыть позицию</x:v>
      </x:c>
    </x:row>
    <x:row r="275" ht="28" customHeight="1">
      <x:c r="A275" s="16" t="str">
        <x:v>Кемеровская теплосетевая компания</x:v>
      </x:c>
      <x:c r="B275" s="16" t="str">
        <x:v>2000015197-U121</x:v>
      </x:c>
      <x:c r="C275" s="16" t="str">
        <x:v>АРМАТУРА А-III 25Г2С D20ММ ГОСТ5781-82</x:v>
      </x:c>
      <x:c r="D275" s="16" t="str">
        <x:v>Металлопрокат черный</x:v>
      </x:c>
      <x:c r="E275" s="16" t="str">
        <x:v>Т</x:v>
      </x:c>
      <x:c r="F275" s="29" t="n">
        <x:v>2.994</x:v>
      </x:c>
      <x:c r="G275" s="17" t="n">
        <x:v>57801.526000000005</x:v>
      </x:c>
      <x:c r="H275" s="17" t="n">
        <x:f>G275*F275</x:f>
        <x:v>173057.76884400003</x:v>
      </x:c>
      <x:c r="I275" s="22" t="str">
        <x:f>HYPERLINK("https://etp-aktiv.ru/catalog/materialy/metalloprodukciya/2000015197-U121/","Открыть позицию")</x:f>
        <x:v>Открыть позицию</x:v>
      </x:c>
    </x:row>
    <x:row r="276" ht="28" customHeight="1">
      <x:c r="A276" s="16" t="str">
        <x:v>Кемеровская теплосетевая компания</x:v>
      </x:c>
      <x:c r="B276" s="16" t="str">
        <x:v>2000219901-U121</x:v>
      </x:c>
      <x:c r="C276" s="16" t="str">
        <x:v>АРМАТУРА А-III 25Г2С D32ММ ГОСТ5781-82</x:v>
      </x:c>
      <x:c r="D276" s="16" t="str">
        <x:v>Металлопрокат черный</x:v>
      </x:c>
      <x:c r="E276" s="16" t="str">
        <x:v>Т</x:v>
      </x:c>
      <x:c r="F276" s="30" t="n">
        <x:v>0.621</x:v>
      </x:c>
      <x:c r="G276" s="17" t="n">
        <x:v>59214.53</x:v>
      </x:c>
      <x:c r="H276" s="17" t="n">
        <x:f>G276*F276</x:f>
        <x:v>36772.22313</x:v>
      </x:c>
      <x:c r="I276" s="22" t="str">
        <x:f>HYPERLINK("https://etp-aktiv.ru/catalog/materialy/metalloprodukciya/2000219901-U121/","Открыть позицию")</x:f>
        <x:v>Открыть позицию</x:v>
      </x:c>
    </x:row>
    <x:row r="277" ht="28" customHeight="1">
      <x:c r="A277" s="16" t="str">
        <x:v>Кемеровская теплосетевая компания</x:v>
      </x:c>
      <x:c r="B277" s="16" t="str">
        <x:v>2000015369-U121</x:v>
      </x:c>
      <x:c r="C277" s="16" t="str">
        <x:v>АРМАТУРА А-III 35ГС D12ММ ГОСТ5781-82</x:v>
      </x:c>
      <x:c r="D277" s="16" t="str">
        <x:v>Металлопрокат черный</x:v>
      </x:c>
      <x:c r="E277" s="16" t="str">
        <x:v>Т</x:v>
      </x:c>
      <x:c r="F277" s="30" t="n">
        <x:v>0.029</x:v>
      </x:c>
      <x:c r="G277" s="17" t="n">
        <x:v>57243.0222</x:v>
      </x:c>
      <x:c r="H277" s="17" t="n">
        <x:f>G277*F277</x:f>
        <x:v>1660.0476438</x:v>
      </x:c>
      <x:c r="I277" s="22" t="str">
        <x:f>HYPERLINK("https://etp-aktiv.ru/catalog/materialy/metalloprodukciya/2000015369-U121/","Открыть позицию")</x:f>
        <x:v>Открыть позицию</x:v>
      </x:c>
    </x:row>
    <x:row r="278" ht="28" customHeight="1">
      <x:c r="A278" s="16" t="str">
        <x:v>Кемеровская теплосетевая компания</x:v>
      </x:c>
      <x:c r="B278" s="16" t="str">
        <x:v>2000168906-U121</x:v>
      </x:c>
      <x:c r="C278" s="16" t="str">
        <x:v>БОЛТ КОМПЕНСАТОРНЫЙ М20*300 ГОСТ20700-75</x:v>
      </x:c>
      <x:c r="D278" s="16" t="str">
        <x:v>Метизы</x:v>
      </x:c>
      <x:c r="E278" s="16" t="str">
        <x:v>ШТ</x:v>
      </x:c>
      <x:c r="F278" s="21" t="n">
        <x:v>8</x:v>
      </x:c>
      <x:c r="G278" s="17" t="n">
        <x:v>410.3714</x:v>
      </x:c>
      <x:c r="H278" s="17" t="n">
        <x:f>G278*F278</x:f>
        <x:v>3282.9712</x:v>
      </x:c>
      <x:c r="I278" s="22" t="str">
        <x:f>HYPERLINK("https://etp-aktiv.ru/catalog/materialy/metizy/2000168906-U121/","Открыть позицию")</x:f>
        <x:v>Открыть позицию</x:v>
      </x:c>
    </x:row>
    <x:row r="279" ht="28" customHeight="1">
      <x:c r="A279" s="16" t="str">
        <x:v>Кемеровская теплосетевая компания</x:v>
      </x:c>
      <x:c r="B279" s="16" t="str">
        <x:v>2000654379-U121</x:v>
      </x:c>
      <x:c r="C279" s="16" t="str">
        <x:v>ЗАГЛУШКА 09Г2С 1020*10-16 ТС-596.000-22</x:v>
      </x:c>
      <x:c r="D279" s="16" t="str">
        <x:v>Детали фасонные</x:v>
      </x:c>
      <x:c r="E279" s="16" t="str">
        <x:v>ШТ</x:v>
      </x:c>
      <x:c r="F279" s="21" t="n">
        <x:v>5</x:v>
      </x:c>
      <x:c r="G279" s="17" t="n">
        <x:v>15552.145199999999</x:v>
      </x:c>
      <x:c r="H279" s="17" t="n">
        <x:f>G279*F279</x:f>
        <x:v>77760.726</x:v>
      </x:c>
      <x:c r="I279" s="22" t="str">
        <x:f>HYPERLINK("https://etp-aktiv.ru/catalog/materialy/truboprovody/2000654379-U121/","Открыть позицию")</x:f>
        <x:v>Открыть позицию</x:v>
      </x:c>
    </x:row>
    <x:row r="280" ht="28" customHeight="1">
      <x:c r="A280" s="16" t="str">
        <x:v>Кемеровская теплосетевая компания</x:v>
      </x:c>
      <x:c r="B280" s="16" t="str">
        <x:v>2000844448-U121</x:v>
      </x:c>
      <x:c r="C280" s="16" t="str">
        <x:v>ЗАГЛУШКА 09Г2С 273*7 PN16 ГОСТ17379-2001</x:v>
      </x:c>
      <x:c r="D280" s="16" t="str">
        <x:v>Детали фасонные</x:v>
      </x:c>
      <x:c r="E280" s="16" t="str">
        <x:v>ШТ</x:v>
      </x:c>
      <x:c r="F280" s="21" t="n">
        <x:v>2</x:v>
      </x:c>
      <x:c r="G280" s="17" t="n">
        <x:v>1184.925</x:v>
      </x:c>
      <x:c r="H280" s="17" t="n">
        <x:f>G280*F280</x:f>
        <x:v>2369.85</x:v>
      </x:c>
      <x:c r="I280" s="22" t="str">
        <x:f>HYPERLINK("https://etp-aktiv.ru/catalog/materialy/truboprovody/2000844448-U121/","Открыть позицию")</x:f>
        <x:v>Открыть позицию</x:v>
      </x:c>
    </x:row>
    <x:row r="281" ht="28" customHeight="1">
      <x:c r="A281" s="16" t="str">
        <x:v>Кемеровская теплосетевая компания</x:v>
      </x:c>
      <x:c r="B281" s="16" t="str">
        <x:v>2000554225-U121</x:v>
      </x:c>
      <x:c r="C281" s="16" t="str">
        <x:v>ЗАГЛУШКА 09Г2С 700 2,5 ТС596.000-09</x:v>
      </x:c>
      <x:c r="D281" s="16" t="str">
        <x:v>Детали фасонные</x:v>
      </x:c>
      <x:c r="E281" s="16" t="str">
        <x:v>ШТ</x:v>
      </x:c>
      <x:c r="F281" s="21" t="n">
        <x:v>1</x:v>
      </x:c>
      <x:c r="G281" s="17" t="n">
        <x:v>48800</x:v>
      </x:c>
      <x:c r="H281" s="17" t="n">
        <x:f>G281*F281</x:f>
        <x:v>48800</x:v>
      </x:c>
      <x:c r="I281" s="22" t="str">
        <x:f>HYPERLINK("https://etp-aktiv.ru/catalog/materialy/truboprovody/2000554225-U121/","Открыть позицию")</x:f>
        <x:v>Открыть позицию</x:v>
      </x:c>
    </x:row>
    <x:row r="282" ht="28" customHeight="1">
      <x:c r="A282" s="16" t="str">
        <x:v>Кемеровская теплосетевая компания</x:v>
      </x:c>
      <x:c r="B282" s="16" t="str">
        <x:v>2000675321-U121</x:v>
      </x:c>
      <x:c r="C282" s="16" t="str">
        <x:v>ЗАГЛУШКА 09Г2С D159*4,5 P16 ТС595.000-24</x:v>
      </x:c>
      <x:c r="D282" s="16" t="str">
        <x:v>Детали фасонные</x:v>
      </x:c>
      <x:c r="E282" s="16" t="str">
        <x:v>ШТ</x:v>
      </x:c>
      <x:c r="F282" s="21" t="n">
        <x:v>6</x:v>
      </x:c>
      <x:c r="G282" s="17" t="n">
        <x:v>1736.6212</x:v>
      </x:c>
      <x:c r="H282" s="17" t="n">
        <x:f>G282*F282</x:f>
        <x:v>10419.727200000001</x:v>
      </x:c>
      <x:c r="I282" s="22" t="str">
        <x:f>HYPERLINK("https://etp-aktiv.ru/catalog/materialy/truboprovody/2000675321-U121/","Открыть позицию")</x:f>
        <x:v>Открыть позицию</x:v>
      </x:c>
    </x:row>
    <x:row r="283" ht="28" customHeight="1">
      <x:c r="A283" s="16" t="str">
        <x:v>Кемеровская теплосетевая компания</x:v>
      </x:c>
      <x:c r="B283" s="16" t="str">
        <x:v>2000444547-U121</x:v>
      </x:c>
      <x:c r="C283" s="16" t="str">
        <x:v>ЗАГЛУШКА 09Г2С DN108*8 PN16 ГОСТ17379-01</x:v>
      </x:c>
      <x:c r="D283" s="16" t="str">
        <x:v>Детали фасонные</x:v>
      </x:c>
      <x:c r="E283" s="16" t="str">
        <x:v>ШТ</x:v>
      </x:c>
      <x:c r="F283" s="21" t="n">
        <x:v>1</x:v>
      </x:c>
      <x:c r="G283" s="17" t="n">
        <x:v>50.6544</x:v>
      </x:c>
      <x:c r="H283" s="17" t="n">
        <x:f>G283*F283</x:f>
        <x:v>50.6544</x:v>
      </x:c>
      <x:c r="I283" s="22" t="str">
        <x:f>HYPERLINK("https://etp-aktiv.ru/catalog/materialy/truboprovody/2000444547-U121/","Открыть позицию")</x:f>
        <x:v>Открыть позицию</x:v>
      </x:c>
    </x:row>
    <x:row r="284" ht="28" customHeight="1">
      <x:c r="A284" s="16" t="str">
        <x:v>Кемеровская теплосетевая компания</x:v>
      </x:c>
      <x:c r="B284" s="16" t="str">
        <x:v>2000972666-U121</x:v>
      </x:c>
      <x:c r="C284" s="16" t="str">
        <x:v>ЗАГЛУШКА 09Г2С DN125 PN16 ТС595.000-21</x:v>
      </x:c>
      <x:c r="D284" s="16" t="str">
        <x:v>Детали фасонные</x:v>
      </x:c>
      <x:c r="E284" s="16" t="str">
        <x:v>ШТ</x:v>
      </x:c>
      <x:c r="F284" s="21" t="n">
        <x:v>2</x:v>
      </x:c>
      <x:c r="G284" s="17" t="n">
        <x:v>2132.865</x:v>
      </x:c>
      <x:c r="H284" s="17" t="n">
        <x:f>G284*F284</x:f>
        <x:v>4265.73</x:v>
      </x:c>
      <x:c r="I284" s="22" t="str">
        <x:f>HYPERLINK("https://etp-aktiv.ru/catalog/materialy/truboprovody/2000972666-U121/","Открыть позицию")</x:f>
        <x:v>Открыть позицию</x:v>
      </x:c>
    </x:row>
    <x:row r="285" ht="28" customHeight="1">
      <x:c r="A285" s="16" t="str">
        <x:v>Кемеровская теплосетевая компания</x:v>
      </x:c>
      <x:c r="B285" s="16" t="str">
        <x:v>2000750366-U121</x:v>
      </x:c>
      <x:c r="C285" s="16" t="str">
        <x:v>ЗАГЛУШКА 09Г2С DN159*12 25 ТС-595.000-23</x:v>
      </x:c>
      <x:c r="D285" s="16" t="str">
        <x:v>Детали фасонные</x:v>
      </x:c>
      <x:c r="E285" s="16" t="str">
        <x:v>ШТ</x:v>
      </x:c>
      <x:c r="F285" s="21" t="n">
        <x:v>4</x:v>
      </x:c>
      <x:c r="G285" s="17" t="n">
        <x:v>1643.95</x:v>
      </x:c>
      <x:c r="H285" s="17" t="n">
        <x:f>G285*F285</x:f>
        <x:v>6575.8</x:v>
      </x:c>
      <x:c r="I285" s="22" t="str">
        <x:f>HYPERLINK("https://etp-aktiv.ru/catalog/materialy/truboprovody/2000750366-U121/","Открыть позицию")</x:f>
        <x:v>Открыть позицию</x:v>
      </x:c>
    </x:row>
    <x:row r="286" ht="28" customHeight="1">
      <x:c r="A286" s="16" t="str">
        <x:v>Кемеровская теплосетевая компания</x:v>
      </x:c>
      <x:c r="B286" s="16" t="str">
        <x:v>2000729035-U121</x:v>
      </x:c>
      <x:c r="C286" s="16" t="str">
        <x:v>ЗАГЛУШКА 09Г2С DN159*4,5 PN1,6 ГОСТ17379</x:v>
      </x:c>
      <x:c r="D286" s="16" t="str">
        <x:v>Детали фасонные</x:v>
      </x:c>
      <x:c r="E286" s="16" t="str">
        <x:v>ШТ</x:v>
      </x:c>
      <x:c r="F286" s="21" t="n">
        <x:v>2</x:v>
      </x:c>
      <x:c r="G286" s="17" t="n">
        <x:v>344.7964</x:v>
      </x:c>
      <x:c r="H286" s="17" t="n">
        <x:f>G286*F286</x:f>
        <x:v>689.5928</x:v>
      </x:c>
      <x:c r="I286" s="22" t="str">
        <x:f>HYPERLINK("https://etp-aktiv.ru/catalog/materialy/truboprovody/2000729035-U121/","Открыть позицию")</x:f>
        <x:v>Открыть позицию</x:v>
      </x:c>
    </x:row>
    <x:row r="287" ht="28" customHeight="1">
      <x:c r="A287" s="16" t="str">
        <x:v>Кемеровская теплосетевая компания</x:v>
      </x:c>
      <x:c r="B287" s="16" t="str">
        <x:v>2000881182-U121</x:v>
      </x:c>
      <x:c r="C287" s="16" t="str">
        <x:v>ЗАГЛУШКА 09Г2С DN219 PN25 ТС-595.000-26</x:v>
      </x:c>
      <x:c r="D287" s="16" t="str">
        <x:v>Детали фасонные</x:v>
      </x:c>
      <x:c r="E287" s="16" t="str">
        <x:v>ШТ</x:v>
      </x:c>
      <x:c r="F287" s="21" t="n">
        <x:v>2</x:v>
      </x:c>
      <x:c r="G287" s="17" t="n">
        <x:v>4252.4686</x:v>
      </x:c>
      <x:c r="H287" s="17" t="n">
        <x:f>G287*F287</x:f>
        <x:v>8504.9372</x:v>
      </x:c>
      <x:c r="I287" s="22" t="str">
        <x:f>HYPERLINK("https://etp-aktiv.ru/catalog/materialy/truboprovody/2000881182-U121/","Открыть позицию")</x:f>
        <x:v>Открыть позицию</x:v>
      </x:c>
    </x:row>
    <x:row r="288" ht="28" customHeight="1">
      <x:c r="A288" s="16" t="str">
        <x:v>Кемеровская теплосетевая компания</x:v>
      </x:c>
      <x:c r="B288" s="16" t="str">
        <x:v>2000694446-U121</x:v>
      </x:c>
      <x:c r="C288" s="16" t="str">
        <x:v>ЗАГЛУШКА 09Г2С DN273 PN16 ТС-595.000-31</x:v>
      </x:c>
      <x:c r="D288" s="16" t="str">
        <x:v>Детали фасонные</x:v>
      </x:c>
      <x:c r="E288" s="16" t="str">
        <x:v>ШТ</x:v>
      </x:c>
      <x:c r="F288" s="21" t="n">
        <x:v>1</x:v>
      </x:c>
      <x:c r="G288" s="17" t="n">
        <x:v>6662.7616</x:v>
      </x:c>
      <x:c r="H288" s="17" t="n">
        <x:f>G288*F288</x:f>
        <x:v>6662.7616</x:v>
      </x:c>
      <x:c r="I288" s="22" t="str">
        <x:f>HYPERLINK("https://etp-aktiv.ru/catalog/materialy/truboprovody/2000694446-U121/","Открыть позицию")</x:f>
        <x:v>Открыть позицию</x:v>
      </x:c>
    </x:row>
    <x:row r="289" ht="28" customHeight="1">
      <x:c r="A289" s="16" t="str">
        <x:v>Кемеровская теплосетевая компания</x:v>
      </x:c>
      <x:c r="B289" s="16" t="str">
        <x:v>2000874045-U121</x:v>
      </x:c>
      <x:c r="C289" s="16" t="str">
        <x:v>ЗАГЛУШКА 09Г2С DN273*8 PN25 ТС595.000-30</x:v>
      </x:c>
      <x:c r="D289" s="16" t="str">
        <x:v>Детали фасонные</x:v>
      </x:c>
      <x:c r="E289" s="16" t="str">
        <x:v>ШТ</x:v>
      </x:c>
      <x:c r="F289" s="21" t="n">
        <x:v>6</x:v>
      </x:c>
      <x:c r="G289" s="17" t="n">
        <x:v>2412.2206</x:v>
      </x:c>
      <x:c r="H289" s="17" t="n">
        <x:f>G289*F289</x:f>
        <x:v>14473.3236</x:v>
      </x:c>
      <x:c r="I289" s="22" t="str">
        <x:f>HYPERLINK("https://etp-aktiv.ru/catalog/materialy/truboprovody/2000874045-U121/","Открыть позицию")</x:f>
        <x:v>Открыть позицию</x:v>
      </x:c>
    </x:row>
    <x:row r="290" ht="28" customHeight="1">
      <x:c r="A290" s="16" t="str">
        <x:v>Кемеровская теплосетевая компания</x:v>
      </x:c>
      <x:c r="B290" s="16" t="str">
        <x:v>M2000874045-U121</x:v>
      </x:c>
      <x:c r="C290" s="16" t="str">
        <x:v>ЗАГЛУШКА 09Г2С DN273*8 PN25 ТС595.000-30</x:v>
      </x:c>
      <x:c r="D290" s="16" t="str">
        <x:v>Детали фасонные</x:v>
      </x:c>
      <x:c r="E290" s="16" t="str">
        <x:v>ШТ</x:v>
      </x:c>
      <x:c r="F290" s="21" t="n">
        <x:v>3</x:v>
      </x:c>
      <x:c r="G290" s="17" t="n">
        <x:v>2412.2206</x:v>
      </x:c>
      <x:c r="H290" s="17" t="n">
        <x:f>G290*F290</x:f>
        <x:v>7236.6618</x:v>
      </x:c>
      <x:c r="I290" s="22" t="str">
        <x:f>HYPERLINK("https://etp-aktiv.ru/catalog/materialy/truboprovody/M2000874045-U121/","Открыть позицию")</x:f>
        <x:v>Открыть позицию</x:v>
      </x:c>
    </x:row>
    <x:row r="291" ht="28" customHeight="1">
      <x:c r="A291" s="16" t="str">
        <x:v>Кемеровская теплосетевая компания</x:v>
      </x:c>
      <x:c r="B291" s="16" t="str">
        <x:v>2000849768-U121</x:v>
      </x:c>
      <x:c r="C291" s="16" t="str">
        <x:v>ЗАГЛУШКА 09Г2С DN325*10 PN16 ГОСТ17379</x:v>
      </x:c>
      <x:c r="D291" s="16" t="str">
        <x:v>Детали фасонные</x:v>
      </x:c>
      <x:c r="E291" s="16" t="str">
        <x:v>ШТ</x:v>
      </x:c>
      <x:c r="F291" s="21" t="n">
        <x:v>1</x:v>
      </x:c>
      <x:c r="G291" s="17" t="n">
        <x:v>2099.9249999999997</x:v>
      </x:c>
      <x:c r="H291" s="17" t="n">
        <x:f>G291*F291</x:f>
        <x:v>2099.9249999999997</x:v>
      </x:c>
      <x:c r="I291" s="22" t="str">
        <x:f>HYPERLINK("https://etp-aktiv.ru/catalog/materialy/truboprovody/2000849768-U121/","Открыть позицию")</x:f>
        <x:v>Открыть позицию</x:v>
      </x:c>
    </x:row>
    <x:row r="292" ht="28" customHeight="1">
      <x:c r="A292" s="16" t="str">
        <x:v>Кемеровская теплосетевая компания</x:v>
      </x:c>
      <x:c r="B292" s="16" t="str">
        <x:v>2000661562-U121</x:v>
      </x:c>
      <x:c r="C292" s="16" t="str">
        <x:v>ЗАГЛУШКА 09Г2С DN426 PN16 ТС-595.000-38</x:v>
      </x:c>
      <x:c r="D292" s="16" t="str">
        <x:v>Детали фасонные</x:v>
      </x:c>
      <x:c r="E292" s="16" t="str">
        <x:v>ШТ</x:v>
      </x:c>
      <x:c r="F292" s="21" t="n">
        <x:v>4</x:v>
      </x:c>
      <x:c r="G292" s="17" t="n">
        <x:v>1744.2218</x:v>
      </x:c>
      <x:c r="H292" s="17" t="n">
        <x:f>G292*F292</x:f>
        <x:v>6976.8872</x:v>
      </x:c>
      <x:c r="I292" s="22" t="str">
        <x:f>HYPERLINK("https://etp-aktiv.ru/catalog/materialy/truboprovody/2000661562-U121/","Открыть позицию")</x:f>
        <x:v>Открыть позицию</x:v>
      </x:c>
    </x:row>
    <x:row r="293" ht="28" customHeight="1">
      <x:c r="A293" s="16" t="str">
        <x:v>Кемеровская теплосетевая компания</x:v>
      </x:c>
      <x:c r="B293" s="16" t="str">
        <x:v>2000750364-U121</x:v>
      </x:c>
      <x:c r="C293" s="16" t="str">
        <x:v>ЗАГЛУШКА 17Г1С DN530*8 16 ТС-596.000-05</x:v>
      </x:c>
      <x:c r="D293" s="16" t="str">
        <x:v>Детали фасонные</x:v>
      </x:c>
      <x:c r="E293" s="16" t="str">
        <x:v>ШТ</x:v>
      </x:c>
      <x:c r="F293" s="21" t="n">
        <x:v>3</x:v>
      </x:c>
      <x:c r="G293" s="17" t="n">
        <x:v>8549.5282</x:v>
      </x:c>
      <x:c r="H293" s="17" t="n">
        <x:f>G293*F293</x:f>
        <x:v>25648.584600000002</x:v>
      </x:c>
      <x:c r="I293" s="22" t="str">
        <x:f>HYPERLINK("https://etp-aktiv.ru/catalog/materialy/truboprovody/2000750364-U121/","Открыть позицию")</x:f>
        <x:v>Открыть позицию</x:v>
      </x:c>
    </x:row>
    <x:row r="294" ht="28" customHeight="1">
      <x:c r="A294" s="16" t="str">
        <x:v>Кемеровская теплосетевая компания</x:v>
      </x:c>
      <x:c r="B294" s="16" t="str">
        <x:v>2000881181-U121</x:v>
      </x:c>
      <x:c r="C294" s="16" t="str">
        <x:v>ЗАГЛУШКА 17Г1С DN720*9 PN16 ТС596.000-10</x:v>
      </x:c>
      <x:c r="D294" s="16" t="str">
        <x:v>Детали фасонные</x:v>
      </x:c>
      <x:c r="E294" s="16" t="str">
        <x:v>ШТ</x:v>
      </x:c>
      <x:c r="F294" s="21" t="n">
        <x:v>10</x:v>
      </x:c>
      <x:c r="G294" s="17" t="n">
        <x:v>43014.15</x:v>
      </x:c>
      <x:c r="H294" s="17" t="n">
        <x:f>G294*F294</x:f>
        <x:v>430141.5</x:v>
      </x:c>
      <x:c r="I294" s="22" t="str">
        <x:f>HYPERLINK("https://etp-aktiv.ru/catalog/materialy/truboprovody/2000881181-U121/","Открыть позицию")</x:f>
        <x:v>Открыть позицию</x:v>
      </x:c>
    </x:row>
    <x:row r="295" ht="28" customHeight="1">
      <x:c r="A295" s="16" t="str">
        <x:v>Кемеровская теплосетевая компания</x:v>
      </x:c>
      <x:c r="B295" s="16" t="str">
        <x:v>2000688175-U121</x:v>
      </x:c>
      <x:c r="C295" s="16" t="str">
        <x:v>ЗАГЛУШКА 17Г1С DN820 PN16 ТС-596.000-14</x:v>
      </x:c>
      <x:c r="D295" s="16" t="str">
        <x:v>Детали фасонные</x:v>
      </x:c>
      <x:c r="E295" s="16" t="str">
        <x:v>ШТ</x:v>
      </x:c>
      <x:c r="F295" s="21" t="n">
        <x:v>12</x:v>
      </x:c>
      <x:c r="G295" s="17" t="n">
        <x:v>52193.271400000005</x:v>
      </x:c>
      <x:c r="H295" s="17" t="n">
        <x:f>G295*F295</x:f>
        <x:v>626319.2568000001</x:v>
      </x:c>
      <x:c r="I295" s="22" t="str">
        <x:f>HYPERLINK("https://etp-aktiv.ru/catalog/materialy/truboprovody/2000688175-U121/","Открыть позицию")</x:f>
        <x:v>Открыть позицию</x:v>
      </x:c>
    </x:row>
    <x:row r="296" ht="28" customHeight="1">
      <x:c r="A296" s="16" t="str">
        <x:v>Кемеровская теплосетевая компания</x:v>
      </x:c>
      <x:c r="B296" s="16" t="str">
        <x:v>2000871408-U121</x:v>
      </x:c>
      <x:c r="C296" s="16" t="str">
        <x:v>ЗАГЛУШКА П 09Г2С 219*8 ГОСТ17379-2001</x:v>
      </x:c>
      <x:c r="D296" s="16" t="str">
        <x:v>Детали фасонные</x:v>
      </x:c>
      <x:c r="E296" s="16" t="str">
        <x:v>ШТ</x:v>
      </x:c>
      <x:c r="F296" s="21" t="n">
        <x:v>4</x:v>
      </x:c>
      <x:c r="G296" s="17" t="n">
        <x:v>727.425</x:v>
      </x:c>
      <x:c r="H296" s="17" t="n">
        <x:f>G296*F296</x:f>
        <x:v>2909.7</x:v>
      </x:c>
      <x:c r="I296" s="22" t="str">
        <x:f>HYPERLINK("https://etp-aktiv.ru/catalog/materialy/truboprovody/2000871408-U121/","Открыть позицию")</x:f>
        <x:v>Открыть позицию</x:v>
      </x:c>
    </x:row>
    <x:row r="297" ht="28" customHeight="1">
      <x:c r="A297" s="16" t="str">
        <x:v>Кемеровская теплосетевая компания</x:v>
      </x:c>
      <x:c r="B297" s="16" t="str">
        <x:v>2000500655-U121</x:v>
      </x:c>
      <x:c r="C297" s="16" t="str">
        <x:v>ЗАГЛУШКА РЕЗЬБОВАЯ КАНАЛИЗ ПП DN50*1,5</x:v>
      </x:c>
      <x:c r="D297" s="16" t="str">
        <x:v>Детали фасонные</x:v>
      </x:c>
      <x:c r="E297" s="16" t="str">
        <x:v>ШТ</x:v>
      </x:c>
      <x:c r="F297" s="21" t="n">
        <x:v>1</x:v>
      </x:c>
      <x:c r="G297" s="17" t="n">
        <x:v>21.044999999999998</x:v>
      </x:c>
      <x:c r="H297" s="17" t="n">
        <x:f>G297*F297</x:f>
        <x:v>21.044999999999998</x:v>
      </x:c>
      <x:c r="I297" s="22" t="str">
        <x:f>HYPERLINK("https://etp-aktiv.ru/catalog/materialy/truboprovody/2000500655-U121/","Открыть позицию")</x:f>
        <x:v>Открыть позицию</x:v>
      </x:c>
    </x:row>
    <x:row r="298" ht="28" customHeight="1">
      <x:c r="A298" s="16" t="str">
        <x:v>Кемеровская теплосетевая компания</x:v>
      </x:c>
      <x:c r="B298" s="16" t="str">
        <x:v>2000628637-U121</x:v>
      </x:c>
      <x:c r="C298" s="16" t="str">
        <x:v>ЗАГЛУШКА СТ20 325*22-1,6 ТС-595.000-34</x:v>
      </x:c>
      <x:c r="D298" s="16" t="str">
        <x:v>Детали фасонные</x:v>
      </x:c>
      <x:c r="E298" s="16" t="str">
        <x:v>ШТ</x:v>
      </x:c>
      <x:c r="F298" s="21" t="n">
        <x:v>6</x:v>
      </x:c>
      <x:c r="G298" s="17" t="n">
        <x:v>5564.724999999999</x:v>
      </x:c>
      <x:c r="H298" s="17" t="n">
        <x:f>G298*F298</x:f>
        <x:v>33388.35</x:v>
      </x:c>
      <x:c r="I298" s="22" t="str">
        <x:f>HYPERLINK("https://etp-aktiv.ru/catalog/materialy/truboprovody/2000628637-U121/","Открыть позицию")</x:f>
        <x:v>Открыть позицию</x:v>
      </x:c>
    </x:row>
    <x:row r="299" ht="28" customHeight="1">
      <x:c r="A299" s="16" t="str">
        <x:v>Кемеровская теплосетевая компания</x:v>
      </x:c>
      <x:c r="B299" s="16" t="str">
        <x:v>2000255566-U121</x:v>
      </x:c>
      <x:c r="C299" s="16" t="str">
        <x:v>ЗАГЛУШКА СТ20 DN100 PN16 ТС-595.000-18</x:v>
      </x:c>
      <x:c r="D299" s="16" t="str">
        <x:v>Детали фасонные</x:v>
      </x:c>
      <x:c r="E299" s="16" t="str">
        <x:v>ШТ</x:v>
      </x:c>
      <x:c r="F299" s="21" t="n">
        <x:v>8</x:v>
      </x:c>
      <x:c r="G299" s="17" t="n">
        <x:v>89.18199999999999</x:v>
      </x:c>
      <x:c r="H299" s="17" t="n">
        <x:f>G299*F299</x:f>
        <x:v>713.4559999999999</x:v>
      </x:c>
      <x:c r="I299" s="22" t="str">
        <x:f>HYPERLINK("https://etp-aktiv.ru/catalog/materialy/truboprovody/2000255566-U121/","Открыть позицию")</x:f>
        <x:v>Открыть позицию</x:v>
      </x:c>
    </x:row>
    <x:row r="300" ht="28" customHeight="1">
      <x:c r="A300" s="16" t="str">
        <x:v>Кемеровская теплосетевая компания</x:v>
      </x:c>
      <x:c r="B300" s="16" t="str">
        <x:v>2000241554-U121</x:v>
      </x:c>
      <x:c r="C300" s="16" t="str">
        <x:v>ЗАГЛУШКА СТ20 DN150 PN16 ТС-595.000-24</x:v>
      </x:c>
      <x:c r="D300" s="16" t="str">
        <x:v>Детали фасонные</x:v>
      </x:c>
      <x:c r="E300" s="16" t="str">
        <x:v>ШТ</x:v>
      </x:c>
      <x:c r="F300" s="21" t="n">
        <x:v>2</x:v>
      </x:c>
      <x:c r="G300" s="17" t="n">
        <x:v>1772.965</x:v>
      </x:c>
      <x:c r="H300" s="17" t="n">
        <x:f>G300*F300</x:f>
        <x:v>3545.93</x:v>
      </x:c>
      <x:c r="I300" s="22" t="str">
        <x:f>HYPERLINK("https://etp-aktiv.ru/catalog/materialy/truboprovody/2000241554-U121/","Открыть позицию")</x:f>
        <x:v>Открыть позицию</x:v>
      </x:c>
    </x:row>
    <x:row r="301" ht="28" customHeight="1">
      <x:c r="A301" s="16" t="str">
        <x:v>Кемеровская теплосетевая компания</x:v>
      </x:c>
      <x:c r="B301" s="16" t="str">
        <x:v>2000249902-U121</x:v>
      </x:c>
      <x:c r="C301" s="16" t="str">
        <x:v>ЗАГЛУШКА СТ20 DN159 PN25 ТС-595.000-23</x:v>
      </x:c>
      <x:c r="D301" s="16" t="str">
        <x:v>Детали фасонные</x:v>
      </x:c>
      <x:c r="E301" s="16" t="str">
        <x:v>ШТ</x:v>
      </x:c>
      <x:c r="F301" s="21" t="n">
        <x:v>19</x:v>
      </x:c>
      <x:c r="G301" s="17" t="n">
        <x:v>1952</x:v>
      </x:c>
      <x:c r="H301" s="17" t="n">
        <x:f>G301*F301</x:f>
        <x:v>37088</x:v>
      </x:c>
      <x:c r="I301" s="22" t="str">
        <x:f>HYPERLINK("https://etp-aktiv.ru/catalog/materialy/truboprovody/2000249902-U121/","Открыть позицию")</x:f>
        <x:v>Открыть позицию</x:v>
      </x:c>
    </x:row>
    <x:row r="302" ht="28" customHeight="1">
      <x:c r="A302" s="16" t="str">
        <x:v>Кемеровская теплосетевая компания</x:v>
      </x:c>
      <x:c r="B302" s="16" t="str">
        <x:v>2000241634-U121</x:v>
      </x:c>
      <x:c r="C302" s="16" t="str">
        <x:v>ЗАГЛУШКА СТ20 DN200 PN16 ТС-595.000-27</x:v>
      </x:c>
      <x:c r="D302" s="16" t="str">
        <x:v>Детали фасонные</x:v>
      </x:c>
      <x:c r="E302" s="16" t="str">
        <x:v>ШТ</x:v>
      </x:c>
      <x:c r="F302" s="21" t="n">
        <x:v>9</x:v>
      </x:c>
      <x:c r="G302" s="17" t="n">
        <x:v>1566.48</x:v>
      </x:c>
      <x:c r="H302" s="17" t="n">
        <x:f>G302*F302</x:f>
        <x:v>14098.32</x:v>
      </x:c>
      <x:c r="I302" s="22" t="str">
        <x:f>HYPERLINK("https://etp-aktiv.ru/catalog/materialy/truboprovody/2000241634-U121/","Открыть позицию")</x:f>
        <x:v>Открыть позицию</x:v>
      </x:c>
    </x:row>
    <x:row r="303" ht="28" customHeight="1">
      <x:c r="A303" s="16" t="str">
        <x:v>Кемеровская теплосетевая компания</x:v>
      </x:c>
      <x:c r="B303" s="16" t="str">
        <x:v>2000249901-U121</x:v>
      </x:c>
      <x:c r="C303" s="16" t="str">
        <x:v>ЗАГЛУШКА СТ20 DN219 PN25 ТС-595.000-26</x:v>
      </x:c>
      <x:c r="D303" s="16" t="str">
        <x:v>Детали фасонные</x:v>
      </x:c>
      <x:c r="E303" s="16" t="str">
        <x:v>ШТ</x:v>
      </x:c>
      <x:c r="F303" s="21" t="n">
        <x:v>14</x:v>
      </x:c>
      <x:c r="G303" s="17" t="n">
        <x:v>3520.9688</x:v>
      </x:c>
      <x:c r="H303" s="17" t="n">
        <x:f>G303*F303</x:f>
        <x:v>49293.563200000004</x:v>
      </x:c>
      <x:c r="I303" s="22" t="str">
        <x:f>HYPERLINK("https://etp-aktiv.ru/catalog/materialy/truboprovody/2000249901-U121/","Открыть позицию")</x:f>
        <x:v>Открыть позицию</x:v>
      </x:c>
    </x:row>
    <x:row r="304" ht="28" customHeight="1">
      <x:c r="A304" s="16" t="str">
        <x:v>Кемеровская теплосетевая компания</x:v>
      </x:c>
      <x:c r="B304" s="16" t="str">
        <x:v>2000255164-U121</x:v>
      </x:c>
      <x:c r="C304" s="16" t="str">
        <x:v>ЗАГЛУШКА СТ20 DN273 PN25 ТС-596.000-30</x:v>
      </x:c>
      <x:c r="D304" s="16" t="str">
        <x:v>Детали фасонные</x:v>
      </x:c>
      <x:c r="E304" s="16" t="str">
        <x:v>ШТ</x:v>
      </x:c>
      <x:c r="F304" s="21" t="n">
        <x:v>4</x:v>
      </x:c>
      <x:c r="G304" s="17" t="n">
        <x:v>1715.625</x:v>
      </x:c>
      <x:c r="H304" s="17" t="n">
        <x:f>G304*F304</x:f>
        <x:v>6862.5</x:v>
      </x:c>
      <x:c r="I304" s="22" t="str">
        <x:f>HYPERLINK("https://etp-aktiv.ru/catalog/materialy/truboprovody/2000255164-U121/","Открыть позицию")</x:f>
        <x:v>Открыть позицию</x:v>
      </x:c>
    </x:row>
    <x:row r="305" ht="28" customHeight="1">
      <x:c r="A305" s="16" t="str">
        <x:v>Кемеровская теплосетевая компания</x:v>
      </x:c>
      <x:c r="B305" s="16" t="str">
        <x:v>2000255745-U121</x:v>
      </x:c>
      <x:c r="C305" s="16" t="str">
        <x:v>ЗАГЛУШКА СТ20 DN50 PN16 ТС-595.000-11</x:v>
      </x:c>
      <x:c r="D305" s="16" t="str">
        <x:v>Детали фасонные</x:v>
      </x:c>
      <x:c r="E305" s="16" t="str">
        <x:v>ШТ</x:v>
      </x:c>
      <x:c r="F305" s="21" t="n">
        <x:v>2</x:v>
      </x:c>
      <x:c r="G305" s="17" t="n">
        <x:v>150.975</x:v>
      </x:c>
      <x:c r="H305" s="17" t="n">
        <x:f>G305*F305</x:f>
        <x:v>301.95</x:v>
      </x:c>
      <x:c r="I305" s="22" t="str">
        <x:f>HYPERLINK("https://etp-aktiv.ru/catalog/materialy/truboprovody/2000255745-U121/","Открыть позицию")</x:f>
        <x:v>Открыть позицию</x:v>
      </x:c>
    </x:row>
    <x:row r="306" ht="28" customHeight="1">
      <x:c r="A306" s="16" t="str">
        <x:v>Кемеровская теплосетевая компания</x:v>
      </x:c>
      <x:c r="B306" s="16" t="str">
        <x:v>2000554223-U121</x:v>
      </x:c>
      <x:c r="C306" s="16" t="str">
        <x:v>ЗАГЛУШКА СТ20 DN65 PN1,6 ТС595.000-13</x:v>
      </x:c>
      <x:c r="D306" s="16" t="str">
        <x:v>Детали фасонные</x:v>
      </x:c>
      <x:c r="E306" s="16" t="str">
        <x:v>ШТ</x:v>
      </x:c>
      <x:c r="F306" s="21" t="n">
        <x:v>2</x:v>
      </x:c>
      <x:c r="G306" s="17" t="n">
        <x:v>910.425</x:v>
      </x:c>
      <x:c r="H306" s="17" t="n">
        <x:f>G306*F306</x:f>
        <x:v>1820.85</x:v>
      </x:c>
      <x:c r="I306" s="22" t="str">
        <x:f>HYPERLINK("https://etp-aktiv.ru/catalog/materialy/truboprovody/2000554223-U121/","Открыть позицию")</x:f>
        <x:v>Открыть позицию</x:v>
      </x:c>
    </x:row>
    <x:row r="307" ht="28" customHeight="1">
      <x:c r="A307" s="16" t="str">
        <x:v>Кемеровская теплосетевая компания</x:v>
      </x:c>
      <x:c r="B307" s="16" t="str">
        <x:v>2000554226-U121</x:v>
      </x:c>
      <x:c r="C307" s="16" t="str">
        <x:v>ЗАГЛУШКА СТ20 DN720 PN1,6 ТС596.000-10</x:v>
      </x:c>
      <x:c r="D307" s="16" t="str">
        <x:v>Детали фасонные</x:v>
      </x:c>
      <x:c r="E307" s="16" t="str">
        <x:v>ШТ</x:v>
      </x:c>
      <x:c r="F307" s="21" t="n">
        <x:v>4</x:v>
      </x:c>
      <x:c r="G307" s="17" t="n">
        <x:v>27888.443600000002</x:v>
      </x:c>
      <x:c r="H307" s="17" t="n">
        <x:f>G307*F307</x:f>
        <x:v>111553.77440000001</x:v>
      </x:c>
      <x:c r="I307" s="22" t="str">
        <x:f>HYPERLINK("https://etp-aktiv.ru/catalog/materialy/truboprovody/2000554226-U121/","Открыть позицию")</x:f>
        <x:v>Открыть позицию</x:v>
      </x:c>
    </x:row>
    <x:row r="308" ht="28" customHeight="1">
      <x:c r="A308" s="16" t="str">
        <x:v>Кемеровская теплосетевая компания</x:v>
      </x:c>
      <x:c r="B308" s="16" t="str">
        <x:v>2000255567-U121</x:v>
      </x:c>
      <x:c r="C308" s="16" t="str">
        <x:v>ЗАГЛУШКА СТ20 DN80 PN16 ТС-595.000-15</x:v>
      </x:c>
      <x:c r="D308" s="16" t="str">
        <x:v>Детали фасонные</x:v>
      </x:c>
      <x:c r="E308" s="16" t="str">
        <x:v>ШТ</x:v>
      </x:c>
      <x:c r="F308" s="21" t="n">
        <x:v>4</x:v>
      </x:c>
      <x:c r="G308" s="17" t="n">
        <x:v>978.7572</x:v>
      </x:c>
      <x:c r="H308" s="17" t="n">
        <x:f>G308*F308</x:f>
        <x:v>3915.0288</x:v>
      </x:c>
      <x:c r="I308" s="22" t="str">
        <x:f>HYPERLINK("https://etp-aktiv.ru/catalog/materialy/truboprovody/2000255567-U121/","Открыть позицию")</x:f>
        <x:v>Открыть позицию</x:v>
      </x:c>
    </x:row>
    <x:row r="309" ht="28" customHeight="1">
      <x:c r="A309" s="16" t="str">
        <x:v>Кемеровская теплосетевая компания</x:v>
      </x:c>
      <x:c r="B309" s="16" t="str">
        <x:v>2000961436-U121</x:v>
      </x:c>
      <x:c r="C309" s="16" t="str">
        <x:v>ЗАГЛУШКА СТ20 DN89*8 PN10 ГОСТ17379-2001</x:v>
      </x:c>
      <x:c r="D309" s="16" t="str">
        <x:v>Детали фасонные</x:v>
      </x:c>
      <x:c r="E309" s="16" t="str">
        <x:v>ШТ</x:v>
      </x:c>
      <x:c r="F309" s="21" t="n">
        <x:v>4</x:v>
      </x:c>
      <x:c r="G309" s="17" t="n">
        <x:v>394.9994</x:v>
      </x:c>
      <x:c r="H309" s="17" t="n">
        <x:f>G309*F309</x:f>
        <x:v>1579.9976</x:v>
      </x:c>
      <x:c r="I309" s="22" t="str">
        <x:f>HYPERLINK("https://etp-aktiv.ru/catalog/materialy/truboprovody/2000961436-U121/","Открыть позицию")</x:f>
        <x:v>Открыть позицию</x:v>
      </x:c>
    </x:row>
    <x:row r="310" ht="28" customHeight="1">
      <x:c r="A310" s="16" t="str">
        <x:v>Кемеровская теплосетевая компания</x:v>
      </x:c>
      <x:c r="B310" s="16" t="str">
        <x:v>2000539360-U121</x:v>
      </x:c>
      <x:c r="C310" s="16" t="str">
        <x:v>ЗАДВИЖКА 30С41НЖ 50/16 Р/ПР МАХОВ П/ПР А</x:v>
      </x:c>
      <x:c r="D310" s="16" t="str">
        <x:v>Задвижки/клапаны стальные</x:v>
      </x:c>
      <x:c r="E310" s="16" t="str">
        <x:v>ШТ</x:v>
      </x:c>
      <x:c r="F310" s="21" t="n">
        <x:v>2</x:v>
      </x:c>
      <x:c r="G310" s="17" t="n">
        <x:v>9531.25</x:v>
      </x:c>
      <x:c r="H310" s="17" t="n">
        <x:f>G310*F310</x:f>
        <x:v>19062.5</x:v>
      </x:c>
      <x:c r="I310" s="22" t="str">
        <x:f>HYPERLINK("https://etp-aktiv.ru/catalog/materialy/truboprovodnaya-armatura-i-komplektuyushchie/2000539360-U121/","Открыть позицию")</x:f>
        <x:v>Открыть позицию</x:v>
      </x:c>
    </x:row>
    <x:row r="311" ht="28" customHeight="1">
      <x:c r="A311" s="16" t="str">
        <x:v>Кемеровская теплосетевая компания</x:v>
      </x:c>
      <x:c r="B311" s="16" t="str">
        <x:v>2000011087-U121</x:v>
      </x:c>
      <x:c r="C311" s="16" t="str">
        <x:v>ЗАДВИЖКА 30С41НЖ DN50 PN16 РП ФЛ А</x:v>
      </x:c>
      <x:c r="D311" s="16" t="str">
        <x:v>Задвижки/клапаны стальные</x:v>
      </x:c>
      <x:c r="E311" s="16" t="str">
        <x:v>ШТ</x:v>
      </x:c>
      <x:c r="F311" s="21" t="n">
        <x:v>4</x:v>
      </x:c>
      <x:c r="G311" s="17" t="n">
        <x:v>6590.110599999999</x:v>
      </x:c>
      <x:c r="H311" s="17" t="n">
        <x:f>G311*F311</x:f>
        <x:v>26360.442399999996</x:v>
      </x:c>
      <x:c r="I311" s="22" t="str">
        <x:f>HYPERLINK("https://etp-aktiv.ru/catalog/materialy/truboprovodnaya-armatura-i-komplektuyushchie/2000011087-U121/","Открыть позицию")</x:f>
        <x:v>Открыть позицию</x:v>
      </x:c>
    </x:row>
    <x:row r="312" ht="28" customHeight="1">
      <x:c r="A312" s="16" t="str">
        <x:v>Кемеровская теплосетевая компания</x:v>
      </x:c>
      <x:c r="B312" s="16" t="str">
        <x:v>2000539367-U121</x:v>
      </x:c>
      <x:c r="C312" s="16" t="str">
        <x:v>ЗАДВИЖКА 30С541НЖ DN400PN16 РЕД ФЛ А КОФ</x:v>
      </x:c>
      <x:c r="D312" s="16" t="str">
        <x:v>Задвижки/клапаны стальные</x:v>
      </x:c>
      <x:c r="E312" s="16" t="str">
        <x:v>ШТ</x:v>
      </x:c>
      <x:c r="F312" s="21" t="n">
        <x:v>1</x:v>
      </x:c>
      <x:c r="G312" s="17" t="n">
        <x:v>296271.8638</x:v>
      </x:c>
      <x:c r="H312" s="17" t="n">
        <x:f>G312*F312</x:f>
        <x:v>296271.8638</x:v>
      </x:c>
      <x:c r="I312" s="22" t="str">
        <x:f>HYPERLINK("https://etp-aktiv.ru/catalog/materialy/truboprovodnaya-armatura-i-komplektuyushchie/2000539367-U121/","Открыть позицию")</x:f>
        <x:v>Открыть позицию</x:v>
      </x:c>
    </x:row>
    <x:row r="313" ht="28" customHeight="1">
      <x:c r="A313" s="16" t="str">
        <x:v>Кемеровская теплосетевая компания</x:v>
      </x:c>
      <x:c r="B313" s="16" t="str">
        <x:v>2000539382-U121</x:v>
      </x:c>
      <x:c r="C313" s="16" t="str">
        <x:v>ЗАДВИЖКА 30С64НЖ DN100 PN25 Р/П ФЛ А КОФ</x:v>
      </x:c>
      <x:c r="D313" s="16" t="str">
        <x:v>Задвижки/клапаны стальные</x:v>
      </x:c>
      <x:c r="E313" s="16" t="str">
        <x:v>ШТ</x:v>
      </x:c>
      <x:c r="F313" s="21" t="n">
        <x:v>13</x:v>
      </x:c>
      <x:c r="G313" s="17" t="n">
        <x:v>20911.568600000002</x:v>
      </x:c>
      <x:c r="H313" s="17" t="n">
        <x:f>G313*F313</x:f>
        <x:v>271850.39180000004</x:v>
      </x:c>
      <x:c r="I313" s="22" t="str">
        <x:f>HYPERLINK("https://etp-aktiv.ru/catalog/materialy/truboprovodnaya-armatura-i-komplektuyushchie/2000539382-U121/","Открыть позицию")</x:f>
        <x:v>Открыть позицию</x:v>
      </x:c>
    </x:row>
    <x:row r="314" ht="28" customHeight="1">
      <x:c r="A314" s="16" t="str">
        <x:v>Кемеровская теплосетевая компания</x:v>
      </x:c>
      <x:c r="B314" s="16" t="str">
        <x:v>2000078109-U121</x:v>
      </x:c>
      <x:c r="C314" s="16" t="str">
        <x:v>ЗАДВИЖКА 30С64НЖ DN250 PN25</x:v>
      </x:c>
      <x:c r="D314" s="16" t="str">
        <x:v>Трубопроводная арматура общепромышленного назначения</x:v>
      </x:c>
      <x:c r="E314" s="16" t="str">
        <x:v>ШТ</x:v>
      </x:c>
      <x:c r="F314" s="21" t="n">
        <x:v>1</x:v>
      </x:c>
      <x:c r="G314" s="17" t="n">
        <x:v>8629.975</x:v>
      </x:c>
      <x:c r="H314" s="17" t="n">
        <x:f>G314*F314</x:f>
        <x:v>8629.975</x:v>
      </x:c>
      <x:c r="I314" s="22" t="str">
        <x:f>HYPERLINK("https://etp-aktiv.ru/catalog/materialy/truboprovodnaya-armatura-i-komplektuyushchie/2000078109-U121/","Открыть позицию")</x:f>
        <x:v>Открыть позицию</x:v>
      </x:c>
    </x:row>
    <x:row r="315" ht="28" customHeight="1">
      <x:c r="A315" s="16" t="str">
        <x:v>Кемеровская теплосетевая компания</x:v>
      </x:c>
      <x:c r="B315" s="16" t="str">
        <x:v>2000539393-U121</x:v>
      </x:c>
      <x:c r="C315" s="16" t="str">
        <x:v>ЗАДВИЖКА 30С64НЖ DN80 PN25 Р/П ФЛ А КОФ</x:v>
      </x:c>
      <x:c r="D315" s="16" t="str">
        <x:v>Задвижки/клапаны стальные</x:v>
      </x:c>
      <x:c r="E315" s="16" t="str">
        <x:v>ШТ</x:v>
      </x:c>
      <x:c r="F315" s="21" t="n">
        <x:v>5</x:v>
      </x:c>
      <x:c r="G315" s="17" t="n">
        <x:v>13119.6726</x:v>
      </x:c>
      <x:c r="H315" s="17" t="n">
        <x:f>G315*F315</x:f>
        <x:v>65598.363</x:v>
      </x:c>
      <x:c r="I315" s="22" t="str">
        <x:f>HYPERLINK("https://etp-aktiv.ru/catalog/materialy/truboprovodnaya-armatura-i-komplektuyushchie/2000539393-U121/","Открыть позицию")</x:f>
        <x:v>Открыть позицию</x:v>
      </x:c>
    </x:row>
    <x:row r="316" ht="28" customHeight="1">
      <x:c r="A316" s="16" t="str">
        <x:v>Кемеровская теплосетевая компания</x:v>
      </x:c>
      <x:c r="B316" s="16" t="str">
        <x:v>2000539424-U121</x:v>
      </x:c>
      <x:c r="C316" s="16" t="str">
        <x:v>ЗАДВИЖКА 30С964НЖ DN200 PN25 Э/П ФЛ А</x:v>
      </x:c>
      <x:c r="D316" s="16" t="str">
        <x:v>Задвижки/клапаны стальные</x:v>
      </x:c>
      <x:c r="E316" s="16" t="str">
        <x:v>ШТ</x:v>
      </x:c>
      <x:c r="F316" s="21" t="n">
        <x:v>2</x:v>
      </x:c>
      <x:c r="G316" s="17" t="n">
        <x:v>185668.75</x:v>
      </x:c>
      <x:c r="H316" s="17" t="n">
        <x:f>G316*F316</x:f>
        <x:v>371337.5</x:v>
      </x:c>
      <x:c r="I316" s="22" t="str">
        <x:f>HYPERLINK("https://etp-aktiv.ru/catalog/materialy/truboprovodnaya-armatura-i-komplektuyushchie/2000539424-U121/","Открыть позицию")</x:f>
        <x:v>Открыть позицию</x:v>
      </x:c>
    </x:row>
    <x:row r="317" ht="28" customHeight="1">
      <x:c r="A317" s="16" t="str">
        <x:v>Кемеровская теплосетевая компания</x:v>
      </x:c>
      <x:c r="B317" s="16" t="str">
        <x:v>2000539434-U121</x:v>
      </x:c>
      <x:c r="C317" s="16" t="str">
        <x:v>ЗАДВИЖКА 30С964НЖ DN600 PN25 Э/П П/П А</x:v>
      </x:c>
      <x:c r="D317" s="16" t="str">
        <x:v>Задвижки/клапаны стальные</x:v>
      </x:c>
      <x:c r="E317" s="16" t="str">
        <x:v>ШТ</x:v>
      </x:c>
      <x:c r="F317" s="21" t="n">
        <x:v>1</x:v>
      </x:c>
      <x:c r="G317" s="17" t="n">
        <x:v>718386.5811999999</x:v>
      </x:c>
      <x:c r="H317" s="17" t="n">
        <x:f>G317*F317</x:f>
        <x:v>718386.5811999999</x:v>
      </x:c>
      <x:c r="I317" s="22" t="str">
        <x:f>HYPERLINK("https://etp-aktiv.ru/catalog/materialy/truboprovodnaya-armatura-i-komplektuyushchie/2000539434-U121/","Открыть позицию")</x:f>
        <x:v>Открыть позицию</x:v>
      </x:c>
    </x:row>
    <x:row r="318" ht="28" customHeight="1">
      <x:c r="A318" s="16" t="str">
        <x:v>Кемеровская теплосетевая компания</x:v>
      </x:c>
      <x:c r="B318" s="16" t="str">
        <x:v>2000649262-U121</x:v>
      </x:c>
      <x:c r="C318" s="16" t="str">
        <x:v>ЗАТВОР 2Н 1000/16 СТ20 НЖ НЖ/ТРГ ПП ЭП</x:v>
      </x:c>
      <x:c r="D318" s="16" t="str">
        <x:v>Затворы стальные поворотные</x:v>
      </x:c>
      <x:c r="E318" s="16" t="str">
        <x:v>ШТ</x:v>
      </x:c>
      <x:c r="F318" s="21" t="n">
        <x:v>2</x:v>
      </x:c>
      <x:c r="G318" s="17" t="n">
        <x:v>1433500</x:v>
      </x:c>
      <x:c r="H318" s="17" t="n">
        <x:f>G318*F318</x:f>
        <x:v>2867000</x:v>
      </x:c>
      <x:c r="I318" s="22" t="str">
        <x:f>HYPERLINK("https://etp-aktiv.ru/catalog/materialy/truboprovodnaya-armatura-i-komplektuyushchie/2000649262-U121/","Открыть позицию")</x:f>
        <x:v>Открыть позицию</x:v>
      </x:c>
    </x:row>
    <x:row r="319" ht="28" customHeight="1">
      <x:c r="A319" s="16" t="str">
        <x:v>Кемеровская теплосетевая компания</x:v>
      </x:c>
      <x:c r="B319" s="16" t="str">
        <x:v>2000575300-U121</x:v>
      </x:c>
      <x:c r="C319" s="16" t="str">
        <x:v>ЗАТВОР 2Н 500/25 09Г2С/НЖ ВОДА200 ПП ЭП</x:v>
      </x:c>
      <x:c r="D319" s="16" t="str">
        <x:v>Затворы стальные поворотные</x:v>
      </x:c>
      <x:c r="E319" s="16" t="str">
        <x:v>ШТ</x:v>
      </x:c>
      <x:c r="F319" s="21" t="n">
        <x:v>2</x:v>
      </x:c>
      <x:c r="G319" s="17" t="n">
        <x:v>671000</x:v>
      </x:c>
      <x:c r="H319" s="17" t="n">
        <x:f>G319*F319</x:f>
        <x:v>1342000</x:v>
      </x:c>
      <x:c r="I319" s="22" t="str">
        <x:f>HYPERLINK("https://etp-aktiv.ru/catalog/materialy/truboprovodnaya-armatura-i-komplektuyushchie/2000575300-U121/","Открыть позицию")</x:f>
        <x:v>Открыть позицию</x:v>
      </x:c>
    </x:row>
    <x:row r="320" ht="28" customHeight="1">
      <x:c r="A320" s="16" t="str">
        <x:v>Кемеровская теплосетевая компания</x:v>
      </x:c>
      <x:c r="B320" s="16" t="str">
        <x:v>2000649263-U121</x:v>
      </x:c>
      <x:c r="C320" s="16" t="str">
        <x:v>ЗАТВОР 2Н 800/16 СТ20 НЖ НЖ/ТРГ ПП ЭП</x:v>
      </x:c>
      <x:c r="D320" s="16" t="str">
        <x:v>Затворы стальные поворотные</x:v>
      </x:c>
      <x:c r="E320" s="16" t="str">
        <x:v>ШТ</x:v>
      </x:c>
      <x:c r="F320" s="21" t="n">
        <x:v>1</x:v>
      </x:c>
      <x:c r="G320" s="17" t="n">
        <x:v>1037000</x:v>
      </x:c>
      <x:c r="H320" s="17" t="n">
        <x:f>G320*F320</x:f>
        <x:v>1037000</x:v>
      </x:c>
      <x:c r="I320" s="22" t="str">
        <x:f>HYPERLINK("https://etp-aktiv.ru/catalog/materialy/truboprovodnaya-armatura-i-komplektuyushchie/2000649263-U121/","Открыть позицию")</x:f>
        <x:v>Открыть позицию</x:v>
      </x:c>
    </x:row>
    <x:row r="321" ht="28" customHeight="1">
      <x:c r="A321" s="16" t="str">
        <x:v>Кемеровская теплосетевая компания</x:v>
      </x:c>
      <x:c r="B321" s="16" t="str">
        <x:v>2000539905-U121</x:v>
      </x:c>
      <x:c r="C321" s="16" t="str">
        <x:v>ЗАТВОР 2Н СТ/НЖ ВОДА 150 П 300/16 Р A</x:v>
      </x:c>
      <x:c r="D321" s="16" t="str">
        <x:v>Затворы стальные поворотные</x:v>
      </x:c>
      <x:c r="E321" s="16" t="str">
        <x:v>ШТ</x:v>
      </x:c>
      <x:c r="F321" s="21" t="n">
        <x:v>1</x:v>
      </x:c>
      <x:c r="G321" s="17" t="n">
        <x:v>67487.3378</x:v>
      </x:c>
      <x:c r="H321" s="17" t="n">
        <x:f>G321*F321</x:f>
        <x:v>67487.3378</x:v>
      </x:c>
      <x:c r="I321" s="22" t="str">
        <x:f>HYPERLINK("https://etp-aktiv.ru/catalog/materialy/truboprovodnaya-armatura-i-komplektuyushchie/2000539905-U121/","Открыть позицию")</x:f>
        <x:v>Открыть позицию</x:v>
      </x:c>
    </x:row>
    <x:row r="322" ht="28" customHeight="1">
      <x:c r="A322" s="16" t="str">
        <x:v>Кемеровская теплосетевая компания</x:v>
      </x:c>
      <x:c r="B322" s="16" t="str">
        <x:v>2000539932-U121</x:v>
      </x:c>
      <x:c r="C322" s="16" t="str">
        <x:v>ЗАТВОР 2Н СТ/СТ ВОДА 150 П 500/25 ЭП A</x:v>
      </x:c>
      <x:c r="D322" s="16" t="str">
        <x:v>Затворы стальные поворотные</x:v>
      </x:c>
      <x:c r="E322" s="16" t="str">
        <x:v>ШТ</x:v>
      </x:c>
      <x:c r="F322" s="21" t="n">
        <x:v>2</x:v>
      </x:c>
      <x:c r="G322" s="17" t="n">
        <x:v>488000</x:v>
      </x:c>
      <x:c r="H322" s="17" t="n">
        <x:f>G322*F322</x:f>
        <x:v>976000</x:v>
      </x:c>
      <x:c r="I322" s="22" t="str">
        <x:f>HYPERLINK("https://etp-aktiv.ru/catalog/materialy/truboprovodnaya-armatura-i-komplektuyushchie/2000539932-U121/","Открыть позицию")</x:f>
        <x:v>Открыть позицию</x:v>
      </x:c>
    </x:row>
    <x:row r="323" ht="28" customHeight="1">
      <x:c r="A323" s="16" t="str">
        <x:v>Кемеровская теплосетевая компания</x:v>
      </x:c>
      <x:c r="B323" s="16" t="str">
        <x:v>2000765949-U121</x:v>
      </x:c>
      <x:c r="C323" s="16" t="str">
        <x:v>ЗАТВОР ДИСК S21-31G DN32 PN16 МЕЖФЛ РП</x:v>
      </x:c>
      <x:c r="D323" s="16" t="str">
        <x:v>Затворы стальные поворотные</x:v>
      </x:c>
      <x:c r="E323" s="16" t="str">
        <x:v>ШТ</x:v>
      </x:c>
      <x:c r="F323" s="21" t="n">
        <x:v>1</x:v>
      </x:c>
      <x:c r="G323" s="17" t="n">
        <x:v>2839.5499999999997</x:v>
      </x:c>
      <x:c r="H323" s="17" t="n">
        <x:f>G323*F323</x:f>
        <x:v>2839.5499999999997</x:v>
      </x:c>
      <x:c r="I323" s="22" t="str">
        <x:f>HYPERLINK("https://etp-aktiv.ru/catalog/materialy/truboprovodnaya-armatura-i-komplektuyushchie/2000765949-U121/","Открыть позицию")</x:f>
        <x:v>Открыть позицию</x:v>
      </x:c>
    </x:row>
    <x:row r="324" ht="28" customHeight="1">
      <x:c r="A324" s="16" t="str">
        <x:v>Кемеровская теплосетевая компания</x:v>
      </x:c>
      <x:c r="B324" s="16" t="str">
        <x:v>2000539757-U121</x:v>
      </x:c>
      <x:c r="C324" s="16" t="str">
        <x:v>КЛАПАН 19Ч21БР DN50 PN16 Б/П МЕЖФЛАН A</x:v>
      </x:c>
      <x:c r="D324" s="16" t="str">
        <x:v>Чугунная арматура (кроме затворов)</x:v>
      </x:c>
      <x:c r="E324" s="16" t="str">
        <x:v>ШТ</x:v>
      </x:c>
      <x:c r="F324" s="21" t="n">
        <x:v>1</x:v>
      </x:c>
      <x:c r="G324" s="17" t="n">
        <x:v>2350.0006</x:v>
      </x:c>
      <x:c r="H324" s="17" t="n">
        <x:f>G324*F324</x:f>
        <x:v>2350.0006</x:v>
      </x:c>
      <x:c r="I324" s="22" t="str">
        <x:f>HYPERLINK("https://etp-aktiv.ru/catalog/materialy/truboprovodnaya-armatura-i-komplektuyushchie/2000539757-U121/","Открыть позицию")</x:f>
        <x:v>Открыть позицию</x:v>
      </x:c>
    </x:row>
    <x:row r="325" ht="28" customHeight="1">
      <x:c r="A325" s="16" t="str">
        <x:v>Кемеровская теплосетевая компания</x:v>
      </x:c>
      <x:c r="B325" s="16" t="str">
        <x:v>2000632642-U121</x:v>
      </x:c>
      <x:c r="C325" s="16" t="str">
        <x:v>КЛАПАН 25Ч945НЖ DN80 PN16 ЭП ФЛ</x:v>
      </x:c>
      <x:c r="D325" s="16" t="str">
        <x:v>Регулирующая арматура</x:v>
      </x:c>
      <x:c r="E325" s="16" t="str">
        <x:v>ШТ</x:v>
      </x:c>
      <x:c r="F325" s="21" t="n">
        <x:v>1</x:v>
      </x:c>
      <x:c r="G325" s="17" t="n">
        <x:v>66718.75</x:v>
      </x:c>
      <x:c r="H325" s="17" t="n">
        <x:f>G325*F325</x:f>
        <x:v>66718.75</x:v>
      </x:c>
      <x:c r="I325" s="22" t="str">
        <x:f>HYPERLINK("https://etp-aktiv.ru/catalog/materialy/truboprovodnaya-armatura-i-komplektuyushchie/2000632642-U121/","Открыть позицию")</x:f>
        <x:v>Открыть позицию</x:v>
      </x:c>
    </x:row>
    <x:row r="326" ht="28" customHeight="1">
      <x:c r="A326" s="16" t="str">
        <x:v>Кемеровская теплосетевая компания</x:v>
      </x:c>
      <x:c r="B326" s="16" t="str">
        <x:v>2000568035-U121</x:v>
      </x:c>
      <x:c r="C326" s="16" t="str">
        <x:v>КЛАПАН BABV-WW 065N9508 100/25 РУК П/П A</x:v>
      </x:c>
      <x:c r="D326" s="16" t="str">
        <x:v>Арматура из медных сплавов</x:v>
      </x:c>
      <x:c r="E326" s="16" t="str">
        <x:v>ШТ</x:v>
      </x:c>
      <x:c r="F326" s="21" t="n">
        <x:v>1</x:v>
      </x:c>
      <x:c r="G326" s="17" t="n">
        <x:v>139537.5</x:v>
      </x:c>
      <x:c r="H326" s="17" t="n">
        <x:f>G326*F326</x:f>
        <x:v>139537.5</x:v>
      </x:c>
      <x:c r="I326" s="22" t="str">
        <x:f>HYPERLINK("https://etp-aktiv.ru/catalog/materialy/truboprovodnaya-armatura-i-komplektuyushchie/2000568035-U121/","Открыть позицию")</x:f>
        <x:v>Открыть позицию</x:v>
      </x:c>
    </x:row>
    <x:row r="327" ht="28" customHeight="1">
      <x:c r="A327" s="16" t="str">
        <x:v>Кемеровская теплосетевая компания</x:v>
      </x:c>
      <x:c r="B327" s="16" t="str">
        <x:v>2000673577-U121</x:v>
      </x:c>
      <x:c r="C327" s="16" t="str">
        <x:v>КЛАПАН ОБР 065B7524 DN80 PN16 БП МФ</x:v>
      </x:c>
      <x:c r="D327" s="16" t="str">
        <x:v>Арматура из медных сплавов</x:v>
      </x:c>
      <x:c r="E327" s="16" t="str">
        <x:v>ШТ</x:v>
      </x:c>
      <x:c r="F327" s="21" t="n">
        <x:v>1</x:v>
      </x:c>
      <x:c r="G327" s="17" t="n">
        <x:v>15617.22</x:v>
      </x:c>
      <x:c r="H327" s="17" t="n">
        <x:f>G327*F327</x:f>
        <x:v>15617.22</x:v>
      </x:c>
      <x:c r="I327" s="22" t="str">
        <x:f>HYPERLINK("https://etp-aktiv.ru/catalog/materialy/truboprovodnaya-armatura-i-komplektuyushchie/2000673577-U121/","Открыть позицию")</x:f>
        <x:v>Открыть позицию</x:v>
      </x:c>
    </x:row>
    <x:row r="328" ht="28" customHeight="1">
      <x:c r="A328" s="16" t="str">
        <x:v>Кемеровская теплосетевая компания</x:v>
      </x:c>
      <x:c r="B328" s="16" t="str">
        <x:v>2000539752-U121</x:v>
      </x:c>
      <x:c r="C328" s="16" t="str">
        <x:v>КЛАПАН ОБР 19Ч21БР DN100 PN16 ФЛ D СЧ18</x:v>
      </x:c>
      <x:c r="D328" s="16" t="str">
        <x:v>Чугунная арматура (кроме затворов)</x:v>
      </x:c>
      <x:c r="E328" s="16" t="str">
        <x:v>ШТ</x:v>
      </x:c>
      <x:c r="F328" s="21" t="n">
        <x:v>1</x:v>
      </x:c>
      <x:c r="G328" s="17" t="n">
        <x:v>3928.0218</x:v>
      </x:c>
      <x:c r="H328" s="17" t="n">
        <x:f>G328*F328</x:f>
        <x:v>3928.0218</x:v>
      </x:c>
      <x:c r="I328" s="22" t="str">
        <x:f>HYPERLINK("https://etp-aktiv.ru/catalog/materialy/truboprovodnaya-armatura-i-komplektuyushchie/2000539752-U121/","Открыть позицию")</x:f>
        <x:v>Открыть позицию</x:v>
      </x:c>
    </x:row>
    <x:row r="329" ht="28" customHeight="1">
      <x:c r="A329" s="16" t="str">
        <x:v>Кемеровская теплосетевая компания</x:v>
      </x:c>
      <x:c r="B329" s="16" t="str">
        <x:v>2000793480-U121</x:v>
      </x:c>
      <x:c r="C329" s="16" t="str">
        <x:v>КЛАПАН ОБР HF01B453063 DN50 PN16 БП МУФ</x:v>
      </x:c>
      <x:c r="D329" s="16" t="str">
        <x:v>Обратная арматура</x:v>
      </x:c>
      <x:c r="E329" s="16" t="str">
        <x:v>ШТ</x:v>
      </x:c>
      <x:c r="F329" s="21" t="n">
        <x:v>1</x:v>
      </x:c>
      <x:c r="G329" s="17" t="n">
        <x:v>2350.0006</x:v>
      </x:c>
      <x:c r="H329" s="17" t="n">
        <x:f>G329*F329</x:f>
        <x:v>2350.0006</x:v>
      </x:c>
      <x:c r="I329" s="22" t="str">
        <x:f>HYPERLINK("https://etp-aktiv.ru/catalog/materialy/truboprovodnaya-armatura-i-komplektuyushchie/2000793480-U121/","Открыть позицию")</x:f>
        <x:v>Открыть позицию</x:v>
      </x:c>
    </x:row>
    <x:row r="330" ht="28" customHeight="1">
      <x:c r="A330" s="16" t="str">
        <x:v>Кемеровская теплосетевая компания</x:v>
      </x:c>
      <x:c r="B330" s="16" t="str">
        <x:v>2000603623-U121</x:v>
      </x:c>
      <x:c r="C330" s="16" t="str">
        <x:v>КЛАПАН ОБР СВ5440 DN100 PN16 Б/ПР М/Ф А</x:v>
      </x:c>
      <x:c r="D330" s="16" t="str">
        <x:v>Обратная арматура</x:v>
      </x:c>
      <x:c r="E330" s="16" t="str">
        <x:v>ШТ</x:v>
      </x:c>
      <x:c r="F330" s="21" t="n">
        <x:v>1</x:v>
      </x:c>
      <x:c r="G330" s="17" t="n">
        <x:v>4196.8</x:v>
      </x:c>
      <x:c r="H330" s="17" t="n">
        <x:f>G330*F330</x:f>
        <x:v>4196.8</x:v>
      </x:c>
      <x:c r="I330" s="22" t="str">
        <x:f>HYPERLINK("https://etp-aktiv.ru/catalog/materialy/truboprovodnaya-armatura-i-komplektuyushchie/2000603623-U121/","Открыть позицию")</x:f>
        <x:v>Открыть позицию</x:v>
      </x:c>
    </x:row>
    <x:row r="331" ht="28" customHeight="1">
      <x:c r="A331" s="16" t="str">
        <x:v>Кемеровская теплосетевая компания</x:v>
      </x:c>
      <x:c r="B331" s="16" t="str">
        <x:v>2000539820-U121</x:v>
      </x:c>
      <x:c r="C331" s="16" t="str">
        <x:v>КЛАПАН РЕГ JIP BABV-WW 50/25 РП П/П A СТ</x:v>
      </x:c>
      <x:c r="D331" s="16" t="str">
        <x:v>Регулирующая арматура</x:v>
      </x:c>
      <x:c r="E331" s="16" t="str">
        <x:v>ШТ</x:v>
      </x:c>
      <x:c r="F331" s="21" t="n">
        <x:v>1</x:v>
      </x:c>
      <x:c r="G331" s="17" t="n">
        <x:v>13952.835</x:v>
      </x:c>
      <x:c r="H331" s="17" t="n">
        <x:f>G331*F331</x:f>
        <x:v>13952.835</x:v>
      </x:c>
      <x:c r="I331" s="22" t="str">
        <x:f>HYPERLINK("https://etp-aktiv.ru/catalog/materialy/truboprovodnaya-armatura-i-komplektuyushchie/2000539820-U121/","Открыть позицию")</x:f>
        <x:v>Открыть позицию</x:v>
      </x:c>
    </x:row>
    <x:row r="332" ht="28" customHeight="1">
      <x:c r="A332" s="16" t="str">
        <x:v>Кемеровская теплосетевая компания</x:v>
      </x:c>
      <x:c r="B332" s="16" t="str">
        <x:v>2000282855-U121</x:v>
      </x:c>
      <x:c r="C332" s="16" t="str">
        <x:v>КЛЮЧ ТРУБ РЫЧ 10-36ММ КТР-2 ГОСТ18981-73</x:v>
      </x:c>
      <x:c r="D332" s="16" t="str">
        <x:v>Инструмент и спецоснастка</x:v>
      </x:c>
      <x:c r="E332" s="16" t="str">
        <x:v>ШТ</x:v>
      </x:c>
      <x:c r="F332" s="21" t="n">
        <x:v>5</x:v>
      </x:c>
      <x:c r="G332" s="17" t="n">
        <x:v>1017.0408</x:v>
      </x:c>
      <x:c r="H332" s="17" t="n">
        <x:f>G332*F332</x:f>
        <x:v>5085.204</x:v>
      </x:c>
      <x:c r="I332" s="22" t="str">
        <x:f>HYPERLINK("https://etp-aktiv.ru/catalog/materialy/instrument-i-specosnastka/2000282855-U121/","Открыть позицию")</x:f>
        <x:v>Открыть позицию</x:v>
      </x:c>
    </x:row>
    <x:row r="333" ht="28" customHeight="1">
      <x:c r="A333" s="16" t="str">
        <x:v>Кемеровская теплосетевая компания</x:v>
      </x:c>
      <x:c r="B333" s="16" t="str">
        <x:v>2001035929-U121</x:v>
      </x:c>
      <x:c r="C333" s="16" t="str">
        <x:v>КМП ЗАДЕЛКИ СТЫКА КЗС(Т) 219 315 ППУ-ПЭ</x:v>
      </x:c>
      <x:c r="D333" s="16" t="str">
        <x:v>Трубы и элементы трубопроводов теплоизолиров и футерованных</x:v>
      </x:c>
      <x:c r="E333" s="16" t="str">
        <x:v>ШТ</x:v>
      </x:c>
      <x:c r="F333" s="21" t="n">
        <x:v>12</x:v>
      </x:c>
      <x:c r="G333" s="17" t="n">
        <x:v>2836.5</x:v>
      </x:c>
      <x:c r="H333" s="17" t="n">
        <x:f>G333*F333</x:f>
        <x:v>34038</x:v>
      </x:c>
      <x:c r="I333" s="22" t="str">
        <x:f>HYPERLINK("https://etp-aktiv.ru/catalog/materialy/truboprovody/2001035929-U121/","Открыть позицию")</x:f>
        <x:v>Открыть позицию</x:v>
      </x:c>
    </x:row>
    <x:row r="334" ht="28" customHeight="1">
      <x:c r="A334" s="16" t="str">
        <x:v>Кемеровская теплосетевая компания</x:v>
      </x:c>
      <x:c r="B334" s="16" t="str">
        <x:v>2000917870-U121</x:v>
      </x:c>
      <x:c r="C334" s="16" t="str">
        <x:v>КМП ЗАДЕЛКИ СТЫКА КЗС(Т) 57/125 ППУ-ПЭ</x:v>
      </x:c>
      <x:c r="D334" s="16" t="str">
        <x:v>Трубы и элементы трубопроводов теплоизолиров и футерованных</x:v>
      </x:c>
      <x:c r="E334" s="16" t="str">
        <x:v>ШТ</x:v>
      </x:c>
      <x:c r="F334" s="21" t="n">
        <x:v>19</x:v>
      </x:c>
      <x:c r="G334" s="17" t="n">
        <x:v>723.5698</x:v>
      </x:c>
      <x:c r="H334" s="17" t="n">
        <x:f>G334*F334</x:f>
        <x:v>13747.8262</x:v>
      </x:c>
      <x:c r="I334" s="22" t="str">
        <x:f>HYPERLINK("https://etp-aktiv.ru/catalog/materialy/truboprovody/2000917870-U121/","Открыть позицию")</x:f>
        <x:v>Открыть позицию</x:v>
      </x:c>
    </x:row>
    <x:row r="335" ht="28" customHeight="1">
      <x:c r="A335" s="16" t="str">
        <x:v>Кемеровская теплосетевая компания</x:v>
      </x:c>
      <x:c r="B335" s="16" t="str">
        <x:v>2000917871-U121</x:v>
      </x:c>
      <x:c r="C335" s="16" t="str">
        <x:v>КМП ЗАДЕЛКИ СТЫКА КЗС(Т) 76/140 ППУ-ПЭ</x:v>
      </x:c>
      <x:c r="D335" s="16" t="str">
        <x:v>Трубы и элементы трубопроводов теплоизолиров и футерованных</x:v>
      </x:c>
      <x:c r="E335" s="16" t="str">
        <x:v>ШТ</x:v>
      </x:c>
      <x:c r="F335" s="21" t="n">
        <x:v>5</x:v>
      </x:c>
      <x:c r="G335" s="17" t="n">
        <x:v>802.2109999999999</x:v>
      </x:c>
      <x:c r="H335" s="17" t="n">
        <x:f>G335*F335</x:f>
        <x:v>4011.0549999999994</x:v>
      </x:c>
      <x:c r="I335" s="22" t="str">
        <x:f>HYPERLINK("https://etp-aktiv.ru/catalog/materialy/truboprovody/2000917871-U121/","Открыть позицию")</x:f>
        <x:v>Открыть позицию</x:v>
      </x:c>
    </x:row>
    <x:row r="336" ht="28" customHeight="1">
      <x:c r="A336" s="16" t="str">
        <x:v>Кемеровская теплосетевая компания</x:v>
      </x:c>
      <x:c r="B336" s="16" t="str">
        <x:v>2000571134-U121</x:v>
      </x:c>
      <x:c r="C336" s="16" t="str">
        <x:v>КМП КОНЦЕВОЙ ИЗОЛЯЦ ТРУБ КАСАФЛЕКС</x:v>
      </x:c>
      <x:c r="D336" s="16" t="str">
        <x:v>Трубы и элементы трубопроводов теплоизолиров и футерованных</x:v>
      </x:c>
      <x:c r="E336" s="16" t="str">
        <x:v>ШТ</x:v>
      </x:c>
      <x:c r="F336" s="21" t="n">
        <x:v>1</x:v>
      </x:c>
      <x:c r="G336" s="17" t="n">
        <x:v>5602.057000000001</x:v>
      </x:c>
      <x:c r="H336" s="17" t="n">
        <x:f>G336*F336</x:f>
        <x:v>5602.057000000001</x:v>
      </x:c>
      <x:c r="I336" s="22" t="str">
        <x:f>HYPERLINK("https://etp-aktiv.ru/catalog/materialy/truboprovody/2000571134-U121/","Открыть позицию")</x:f>
        <x:v>Открыть позицию</x:v>
      </x:c>
    </x:row>
    <x:row r="337" ht="28" customHeight="1">
      <x:c r="A337" s="16" t="str">
        <x:v>Кемеровская теплосетевая компания</x:v>
      </x:c>
      <x:c r="B337" s="16" t="str">
        <x:v>2000981992-U121</x:v>
      </x:c>
      <x:c r="C337" s="16" t="str">
        <x:v>КОЛЕНО УР DN250 ГОСТ5525-88</x:v>
      </x:c>
      <x:c r="D337" s="16" t="str">
        <x:v>Детали фасонные</x:v>
      </x:c>
      <x:c r="E337" s="16" t="str">
        <x:v>ШТ</x:v>
      </x:c>
      <x:c r="F337" s="21" t="n">
        <x:v>11</x:v>
      </x:c>
      <x:c r="G337" s="17" t="n">
        <x:v>33966.9228</x:v>
      </x:c>
      <x:c r="H337" s="17" t="n">
        <x:f>G337*F337</x:f>
        <x:v>373636.1508</x:v>
      </x:c>
      <x:c r="I337" s="22" t="str">
        <x:f>HYPERLINK("https://etp-aktiv.ru/catalog/materialy/truboprovody/2000981992-U121/","Открыть позицию")</x:f>
        <x:v>Открыть позицию</x:v>
      </x:c>
    </x:row>
    <x:row r="338" ht="28" customHeight="1">
      <x:c r="A338" s="16" t="str">
        <x:v>Кемеровская теплосетевая компания</x:v>
      </x:c>
      <x:c r="B338" s="16" t="str">
        <x:v>2000535037-U121</x:v>
      </x:c>
      <x:c r="C338" s="16" t="str">
        <x:v>КОМПЕНС 200-25-190 ТС-579.00.-03 С.5.903</x:v>
      </x:c>
      <x:c r="D338" s="16" t="str">
        <x:v>Компенсаторы</x:v>
      </x:c>
      <x:c r="E338" s="16" t="str">
        <x:v>ШТ</x:v>
      </x:c>
      <x:c r="F338" s="21" t="n">
        <x:v>1</x:v>
      </x:c>
      <x:c r="G338" s="17" t="n">
        <x:v>24785.068600000002</x:v>
      </x:c>
      <x:c r="H338" s="17" t="n">
        <x:f>G338*F338</x:f>
        <x:v>24785.068600000002</x:v>
      </x:c>
      <x:c r="I338" s="22" t="str">
        <x:f>HYPERLINK("https://etp-aktiv.ru/catalog/materialy/truboprovody/2000535037-U121/","Открыть позицию")</x:f>
        <x:v>Открыть позицию</x:v>
      </x:c>
    </x:row>
    <x:row r="339" ht="28" customHeight="1">
      <x:c r="A339" s="16" t="str">
        <x:v>Кемеровская теплосетевая компания</x:v>
      </x:c>
      <x:c r="B339" s="16" t="str">
        <x:v>2000594432-U121</x:v>
      </x:c>
      <x:c r="C339" s="16" t="str">
        <x:v>КОМПЕНСАТОР 1000-16-500 ТС-579.00.000-40</x:v>
      </x:c>
      <x:c r="D339" s="16" t="str">
        <x:v>Компенсаторы</x:v>
      </x:c>
      <x:c r="E339" s="16" t="str">
        <x:v>ШТ</x:v>
      </x:c>
      <x:c r="F339" s="21" t="n">
        <x:v>2</x:v>
      </x:c>
      <x:c r="G339" s="17" t="n">
        <x:v>242475</x:v>
      </x:c>
      <x:c r="H339" s="17" t="n">
        <x:f>G339*F339</x:f>
        <x:v>484950</x:v>
      </x:c>
      <x:c r="I339" s="22" t="str">
        <x:f>HYPERLINK("https://etp-aktiv.ru/catalog/materialy/truboprovody/2000594432-U121/","Открыть позицию")</x:f>
        <x:v>Открыть позицию</x:v>
      </x:c>
    </x:row>
    <x:row r="340" ht="28" customHeight="1">
      <x:c r="A340" s="16" t="str">
        <x:v>Кемеровская теплосетевая компания</x:v>
      </x:c>
      <x:c r="B340" s="16" t="str">
        <x:v>2000650619-U121</x:v>
      </x:c>
      <x:c r="C340" s="16" t="str">
        <x:v>КОМПЕНСАТОР 2ОПКР-16-1000-520-1.3 DN1000</x:v>
      </x:c>
      <x:c r="D340" s="16" t="str">
        <x:v>Компенсаторы</x:v>
      </x:c>
      <x:c r="E340" s="16" t="str">
        <x:v>ШТ</x:v>
      </x:c>
      <x:c r="F340" s="21" t="n">
        <x:v>2</x:v>
      </x:c>
      <x:c r="G340" s="17" t="n">
        <x:v>390956.1736</x:v>
      </x:c>
      <x:c r="H340" s="17" t="n">
        <x:f>G340*F340</x:f>
        <x:v>781912.3472</x:v>
      </x:c>
      <x:c r="I340" s="22" t="str">
        <x:f>HYPERLINK("https://etp-aktiv.ru/catalog/materialy/truboprovody/2000650619-U121/","Открыть позицию")</x:f>
        <x:v>Открыть позицию</x:v>
      </x:c>
    </x:row>
    <x:row r="341" ht="28" customHeight="1">
      <x:c r="A341" s="16" t="str">
        <x:v>Кемеровская теплосетевая компания</x:v>
      </x:c>
      <x:c r="B341" s="16" t="str">
        <x:v>2000760683-U121</x:v>
      </x:c>
      <x:c r="C341" s="16" t="str">
        <x:v>КОМПЕНСАТОР СКУ.М-25-400-200 ИЯНШ.300260</x:v>
      </x:c>
      <x:c r="D341" s="16" t="str">
        <x:v>Компенсаторы</x:v>
      </x:c>
      <x:c r="E341" s="16" t="str">
        <x:v>ШТ</x:v>
      </x:c>
      <x:c r="F341" s="21" t="n">
        <x:v>4</x:v>
      </x:c>
      <x:c r="G341" s="17" t="n">
        <x:v>85400</x:v>
      </x:c>
      <x:c r="H341" s="17" t="n">
        <x:f>G341*F341</x:f>
        <x:v>341600</x:v>
      </x:c>
      <x:c r="I341" s="22" t="str">
        <x:f>HYPERLINK("https://etp-aktiv.ru/catalog/materialy/truboprovody/2000760683-U121/","Открыть позицию")</x:f>
        <x:v>Открыть позицию</x:v>
      </x:c>
    </x:row>
    <x:row r="342" ht="28" customHeight="1">
      <x:c r="A342" s="16" t="str">
        <x:v>Кемеровская теплосетевая компания</x:v>
      </x:c>
      <x:c r="B342" s="16" t="str">
        <x:v>2001020665-U121</x:v>
      </x:c>
      <x:c r="C342" s="16" t="str">
        <x:v>КОМПЕНСАТОР СКУ.МП-16-426*9-190-М01</x:v>
      </x:c>
      <x:c r="D342" s="16" t="str">
        <x:v>Компенсаторы</x:v>
      </x:c>
      <x:c r="E342" s="16" t="str">
        <x:v>ШТ</x:v>
      </x:c>
      <x:c r="F342" s="21" t="n">
        <x:v>4</x:v>
      </x:c>
      <x:c r="G342" s="17" t="n">
        <x:v>150975</x:v>
      </x:c>
      <x:c r="H342" s="17" t="n">
        <x:f>G342*F342</x:f>
        <x:v>603900</x:v>
      </x:c>
      <x:c r="I342" s="22" t="str">
        <x:f>HYPERLINK("https://etp-aktiv.ru/catalog/materialy/truboprovody/2001020665-U121/","Открыть позицию")</x:f>
        <x:v>Открыть позицию</x:v>
      </x:c>
    </x:row>
    <x:row r="343" ht="28" customHeight="1">
      <x:c r="A343" s="16" t="str">
        <x:v>Кемеровская теплосетевая компания</x:v>
      </x:c>
      <x:c r="B343" s="16" t="str">
        <x:v>2000231638-U121</x:v>
      </x:c>
      <x:c r="C343" s="16" t="str">
        <x:v>КОНТРГАЙКА СТ3 D20 ГОСТ8968-75</x:v>
      </x:c>
      <x:c r="D343" s="16" t="str">
        <x:v>Запасные части к трубопроводной арматуре</x:v>
      </x:c>
      <x:c r="E343" s="16" t="str">
        <x:v>ШТ</x:v>
      </x:c>
      <x:c r="F343" s="21" t="n">
        <x:v>2</x:v>
      </x:c>
      <x:c r="G343" s="17" t="n">
        <x:v>26.535</x:v>
      </x:c>
      <x:c r="H343" s="17" t="n">
        <x:f>G343*F343</x:f>
        <x:v>53.07</x:v>
      </x:c>
      <x:c r="I343" s="22" t="str">
        <x:f>HYPERLINK("https://etp-aktiv.ru/catalog/materialy/truboprovodnaya-armatura-i-komplektuyushchie/2000231638-U121/","Открыть позицию")</x:f>
        <x:v>Открыть позицию</x:v>
      </x:c>
    </x:row>
    <x:row r="344" ht="28" customHeight="1">
      <x:c r="A344" s="16" t="str">
        <x:v>Кемеровская теплосетевая компания</x:v>
      </x:c>
      <x:c r="B344" s="16" t="str">
        <x:v>2000568104-U121</x:v>
      </x:c>
      <x:c r="C344" s="16" t="str">
        <x:v>КРАН 09Г2С СП ВОДА 200° ПП 125/16 РП A</x:v>
      </x:c>
      <x:c r="D344" s="16" t="str">
        <x:v>Краны шаровые стальные</x:v>
      </x:c>
      <x:c r="E344" s="16" t="str">
        <x:v>ШТ</x:v>
      </x:c>
      <x:c r="F344" s="21" t="n">
        <x:v>2</x:v>
      </x:c>
      <x:c r="G344" s="17" t="n">
        <x:v>8588.8</x:v>
      </x:c>
      <x:c r="H344" s="17" t="n">
        <x:f>G344*F344</x:f>
        <x:v>17177.6</x:v>
      </x:c>
      <x:c r="I344" s="22" t="str">
        <x:f>HYPERLINK("https://etp-aktiv.ru/catalog/materialy/truboprovodnaya-armatura-i-komplektuyushchie/2000568104-U121/","Открыть позицию")</x:f>
        <x:v>Открыть позицию</x:v>
      </x:c>
    </x:row>
    <x:row r="345" ht="28" customHeight="1">
      <x:c r="A345" s="16" t="str">
        <x:v>Кемеровская теплосетевая компания</x:v>
      </x:c>
      <x:c r="B345" s="16" t="str">
        <x:v>2000540239-U121</x:v>
      </x:c>
      <x:c r="C345" s="16" t="str">
        <x:v>КРАН 09Г2С СП ВОДА 200° ПП 300/25 РЕД A</x:v>
      </x:c>
      <x:c r="D345" s="16" t="str">
        <x:v>Краны шаровые стальные</x:v>
      </x:c>
      <x:c r="E345" s="16" t="str">
        <x:v>ШТ</x:v>
      </x:c>
      <x:c r="F345" s="21" t="n">
        <x:v>1</x:v>
      </x:c>
      <x:c r="G345" s="17" t="n">
        <x:v>114117.53120000001</x:v>
      </x:c>
      <x:c r="H345" s="17" t="n">
        <x:f>G345*F345</x:f>
        <x:v>114117.53120000001</x:v>
      </x:c>
      <x:c r="I345" s="22" t="str">
        <x:f>HYPERLINK("https://etp-aktiv.ru/catalog/materialy/truboprovodnaya-armatura-i-komplektuyushchie/2000540239-U121/","Открыть позицию")</x:f>
        <x:v>Открыть позицию</x:v>
      </x:c>
    </x:row>
    <x:row r="346" ht="28" customHeight="1">
      <x:c r="A346" s="16" t="str">
        <x:v>Кемеровская теплосетевая компания</x:v>
      </x:c>
      <x:c r="B346" s="16" t="str">
        <x:v>2000540094-U121</x:v>
      </x:c>
      <x:c r="C346" s="16" t="str">
        <x:v>КРАН ЛЦ ПП ВОДА 200° ВВ 40/16 РП A</x:v>
      </x:c>
      <x:c r="D346" s="16" t="str">
        <x:v>Арматура из медных сплавов</x:v>
      </x:c>
      <x:c r="E346" s="16" t="str">
        <x:v>ШТ</x:v>
      </x:c>
      <x:c r="F346" s="21" t="n">
        <x:v>4</x:v>
      </x:c>
      <x:c r="G346" s="17" t="n">
        <x:v>1562.3686</x:v>
      </x:c>
      <x:c r="H346" s="17" t="n">
        <x:f>G346*F346</x:f>
        <x:v>6249.4744</x:v>
      </x:c>
      <x:c r="I346" s="22" t="str">
        <x:f>HYPERLINK("https://etp-aktiv.ru/catalog/materialy/truboprovodnaya-armatura-i-komplektuyushchie/2000540094-U121/","Открыть позицию")</x:f>
        <x:v>Открыть позицию</x:v>
      </x:c>
    </x:row>
    <x:row r="347" ht="28" customHeight="1">
      <x:c r="A347" s="16" t="str">
        <x:v>Кемеровская теплосетевая компания</x:v>
      </x:c>
      <x:c r="B347" s="16" t="str">
        <x:v>2000805958-U121</x:v>
      </x:c>
      <x:c r="C347" s="16" t="str">
        <x:v>КРАН СП 09Г2С ВОДА ПП 125/25 РП</x:v>
      </x:c>
      <x:c r="D347" s="16" t="str">
        <x:v>Трубопроводная арматура общепромышленного назначения</x:v>
      </x:c>
      <x:c r="E347" s="16" t="str">
        <x:v>ШТ</x:v>
      </x:c>
      <x:c r="F347" s="21" t="n">
        <x:v>2</x:v>
      </x:c>
      <x:c r="G347" s="17" t="n">
        <x:v>2435.3396000000002</x:v>
      </x:c>
      <x:c r="H347" s="17" t="n">
        <x:f>G347*F347</x:f>
        <x:v>4870.6792000000005</x:v>
      </x:c>
      <x:c r="I347" s="22" t="str">
        <x:f>HYPERLINK("https://etp-aktiv.ru/catalog/materialy/truboprovodnaya-armatura-i-komplektuyushchie/2000805958-U121/","Открыть позицию")</x:f>
        <x:v>Открыть позицию</x:v>
      </x:c>
    </x:row>
    <x:row r="348" ht="28" customHeight="1">
      <x:c r="A348" s="16" t="str">
        <x:v>Кемеровская теплосетевая компания</x:v>
      </x:c>
      <x:c r="B348" s="16" t="str">
        <x:v>2000540144-U121</x:v>
      </x:c>
      <x:c r="C348" s="16" t="str">
        <x:v>КРАН СТ20 ПП ВОДА 200° ПП DN125PN25 РП A</x:v>
      </x:c>
      <x:c r="D348" s="16" t="str">
        <x:v>Краны шаровые стальные</x:v>
      </x:c>
      <x:c r="E348" s="16" t="str">
        <x:v>ШТ</x:v>
      </x:c>
      <x:c r="F348" s="21" t="n">
        <x:v>7</x:v>
      </x:c>
      <x:c r="G348" s="17" t="n">
        <x:v>6452.506799999999</x:v>
      </x:c>
      <x:c r="H348" s="17" t="n">
        <x:f>G348*F348</x:f>
        <x:v>45167.54759999999</x:v>
      </x:c>
      <x:c r="I348" s="22" t="str">
        <x:f>HYPERLINK("https://etp-aktiv.ru/catalog/materialy/truboprovodnaya-armatura-i-komplektuyushchie/2000540144-U121/","Открыть позицию")</x:f>
        <x:v>Открыть позицию</x:v>
      </x:c>
    </x:row>
    <x:row r="349" ht="28" customHeight="1">
      <x:c r="A349" s="16" t="str">
        <x:v>Кемеровская теплосетевая компания</x:v>
      </x:c>
      <x:c r="B349" s="16" t="str">
        <x:v>M2000540144-U121</x:v>
      </x:c>
      <x:c r="C349" s="16" t="str">
        <x:v>КРАН СТ20 ПП ВОДА 200° ПП DN125PN25 РП A</x:v>
      </x:c>
      <x:c r="D349" s="16" t="str">
        <x:v>Краны шаровые стальные</x:v>
      </x:c>
      <x:c r="E349" s="16" t="str">
        <x:v>ШТ</x:v>
      </x:c>
      <x:c r="F349" s="21" t="n">
        <x:v>3</x:v>
      </x:c>
      <x:c r="G349" s="17" t="n">
        <x:v>6453.9708</x:v>
      </x:c>
      <x:c r="H349" s="17" t="n">
        <x:f>G349*F349</x:f>
        <x:v>19361.9124</x:v>
      </x:c>
      <x:c r="I349" s="22" t="str">
        <x:f>HYPERLINK("https://etp-aktiv.ru/catalog/materialy/truboprovodnaya-armatura-i-komplektuyushchie/M2000540144-U121/","Открыть позицию")</x:f>
        <x:v>Открыть позицию</x:v>
      </x:c>
    </x:row>
    <x:row r="350" ht="28" customHeight="1">
      <x:c r="A350" s="16" t="str">
        <x:v>Кемеровская теплосетевая компания</x:v>
      </x:c>
      <x:c r="B350" s="16" t="str">
        <x:v>2000540161-U121</x:v>
      </x:c>
      <x:c r="C350" s="16" t="str">
        <x:v>КРАН СТ20 ПП ВОДА 200° ПП DN250PN25 РЕ A</x:v>
      </x:c>
      <x:c r="D350" s="16" t="str">
        <x:v>Краны шаровые стальные</x:v>
      </x:c>
      <x:c r="E350" s="16" t="str">
        <x:v>ШТ</x:v>
      </x:c>
      <x:c r="F350" s="21" t="n">
        <x:v>1</x:v>
      </x:c>
      <x:c r="G350" s="17" t="n">
        <x:v>94537.4584</x:v>
      </x:c>
      <x:c r="H350" s="17" t="n">
        <x:f>G350*F350</x:f>
        <x:v>94537.4584</x:v>
      </x:c>
      <x:c r="I350" s="22" t="str">
        <x:f>HYPERLINK("https://etp-aktiv.ru/catalog/materialy/truboprovodnaya-armatura-i-komplektuyushchie/2000540161-U121/","Открыть позицию")</x:f>
        <x:v>Открыть позицию</x:v>
      </x:c>
    </x:row>
    <x:row r="351" ht="28" customHeight="1">
      <x:c r="A351" s="16" t="str">
        <x:v>Кемеровская теплосетевая компания</x:v>
      </x:c>
      <x:c r="B351" s="16" t="str">
        <x:v>M2000540177-U121</x:v>
      </x:c>
      <x:c r="C351" s="16" t="str">
        <x:v>КРАН СТ20 ПП ВОДА 200° ПП DN65 PN25 РП A</x:v>
      </x:c>
      <x:c r="D351" s="16" t="str">
        <x:v>Краны шаровые стальные</x:v>
      </x:c>
      <x:c r="E351" s="16" t="str">
        <x:v>ШТ</x:v>
      </x:c>
      <x:c r="F351" s="21" t="n">
        <x:v>4</x:v>
      </x:c>
      <x:c r="G351" s="17" t="n">
        <x:v>1894.8063999999997</x:v>
      </x:c>
      <x:c r="H351" s="17" t="n">
        <x:f>G351*F351</x:f>
        <x:v>7579.225599999999</x:v>
      </x:c>
      <x:c r="I351" s="22" t="str">
        <x:f>HYPERLINK("https://etp-aktiv.ru/catalog/materialy/truboprovodnaya-armatura-i-komplektuyushchie/M2000540177-U121/","Открыть позицию")</x:f>
        <x:v>Открыть позицию</x:v>
      </x:c>
    </x:row>
    <x:row r="352" ht="28" customHeight="1">
      <x:c r="A352" s="16" t="str">
        <x:v>Кемеровская теплосетевая компания</x:v>
      </x:c>
      <x:c r="B352" s="16" t="str">
        <x:v>2000540334-U121</x:v>
      </x:c>
      <x:c r="C352" s="16" t="str">
        <x:v>КРАН СТ20 СП ВОДА 200° ФЛ 32/40 РП A</x:v>
      </x:c>
      <x:c r="D352" s="16" t="str">
        <x:v>Трубопроводная арматура общепромышленного назначения</x:v>
      </x:c>
      <x:c r="E352" s="16" t="str">
        <x:v>ШТ</x:v>
      </x:c>
      <x:c r="F352" s="21" t="n">
        <x:v>1</x:v>
      </x:c>
      <x:c r="G352" s="17" t="n">
        <x:v>617.991</x:v>
      </x:c>
      <x:c r="H352" s="17" t="n">
        <x:f>G352*F352</x:f>
        <x:v>617.991</x:v>
      </x:c>
      <x:c r="I352" s="22" t="str">
        <x:f>HYPERLINK("https://etp-aktiv.ru/catalog/materialy/truboprovodnaya-armatura-i-komplektuyushchie/2000540334-U121/","Открыть позицию")</x:f>
        <x:v>Открыть позицию</x:v>
      </x:c>
    </x:row>
    <x:row r="353" ht="28" customHeight="1">
      <x:c r="A353" s="16" t="str">
        <x:v>Кемеровская теплосетевая компания</x:v>
      </x:c>
      <x:c r="B353" s="16" t="str">
        <x:v>2000219278-U121</x:v>
      </x:c>
      <x:c r="C353" s="16" t="str">
        <x:v>КРАН ШАРОВЫЙ 015.040.02 DN15 PN40</x:v>
      </x:c>
      <x:c r="D353" s="16" t="str">
        <x:v>@Трубопроводная арматура общепромышленного назначения</x:v>
      </x:c>
      <x:c r="E353" s="16" t="str">
        <x:v>ШТ</x:v>
      </x:c>
      <x:c r="F353" s="21" t="n">
        <x:v>2</x:v>
      </x:c>
      <x:c r="G353" s="17" t="n">
        <x:v>628.3</x:v>
      </x:c>
      <x:c r="H353" s="17" t="n">
        <x:f>G353*F353</x:f>
        <x:v>1256.6</x:v>
      </x:c>
      <x:c r="I353" s="22" t="str">
        <x:f>HYPERLINK("https://etp-aktiv.ru/catalog/materialy/truboprovodnaya-armatura-i-komplektuyushchie/2000219278-U121/","Открыть позицию")</x:f>
        <x:v>Открыть позицию</x:v>
      </x:c>
    </x:row>
    <x:row r="354" ht="28" customHeight="1">
      <x:c r="A354" s="16" t="str">
        <x:v>Кемеровская теплосетевая компания</x:v>
      </x:c>
      <x:c r="B354" s="16" t="str">
        <x:v>2000964915-U121</x:v>
      </x:c>
      <x:c r="C354" s="16" t="str">
        <x:v>КРАН ШАРОВЫЙ СП 09Г2С ВОДА ПП 125 25 Р</x:v>
      </x:c>
      <x:c r="D354" s="16" t="str">
        <x:v>Краны шаровые стальные</x:v>
      </x:c>
      <x:c r="E354" s="16" t="str">
        <x:v>ШТ</x:v>
      </x:c>
      <x:c r="F354" s="21" t="n">
        <x:v>1</x:v>
      </x:c>
      <x:c r="G354" s="17" t="n">
        <x:v>7819.1386</x:v>
      </x:c>
      <x:c r="H354" s="17" t="n">
        <x:f>G354*F354</x:f>
        <x:v>7819.1386</x:v>
      </x:c>
      <x:c r="I354" s="22" t="str">
        <x:f>HYPERLINK("https://etp-aktiv.ru/catalog/materialy/truboprovodnaya-armatura-i-komplektuyushchie/2000964915-U121/","Открыть позицию")</x:f>
        <x:v>Открыть позицию</x:v>
      </x:c>
    </x:row>
    <x:row r="355" ht="28" customHeight="1">
      <x:c r="A355" s="16" t="str">
        <x:v>Кемеровская теплосетевая компания</x:v>
      </x:c>
      <x:c r="B355" s="16" t="str">
        <x:v>2000552869-U121</x:v>
      </x:c>
      <x:c r="C355" s="16" t="str">
        <x:v>ЛЮК ПОЛ-КОМП ТЯЖ ЛПК Т(С250) С ЗАП УСТР</x:v>
      </x:c>
      <x:c r="D355" s="16" t="str">
        <x:v>Детали фасонные</x:v>
      </x:c>
      <x:c r="E355" s="16" t="str">
        <x:v>ШТ</x:v>
      </x:c>
      <x:c r="F355" s="21" t="n">
        <x:v>9</x:v>
      </x:c>
      <x:c r="G355" s="17" t="n">
        <x:v>4960.276</x:v>
      </x:c>
      <x:c r="H355" s="17" t="n">
        <x:f>G355*F355</x:f>
        <x:v>44642.484</x:v>
      </x:c>
      <x:c r="I355" s="22" t="str">
        <x:f>HYPERLINK("https://etp-aktiv.ru/catalog/materialy/truboprovody/2000552869-U121/","Открыть позицию")</x:f>
        <x:v>Открыть позицию</x:v>
      </x:c>
    </x:row>
    <x:row r="356" ht="28" customHeight="1">
      <x:c r="A356" s="16" t="str">
        <x:v>Кемеровская теплосетевая компания</x:v>
      </x:c>
      <x:c r="B356" s="16" t="str">
        <x:v>2000552866-U121</x:v>
      </x:c>
      <x:c r="C356" s="16" t="str">
        <x:v>ЛЮК ПОЛИМЕРНО-ПЕСЧАННЫЙ Л(А15) ТС.1-60</x:v>
      </x:c>
      <x:c r="D356" s="16" t="str">
        <x:v>Детали фасонные</x:v>
      </x:c>
      <x:c r="E356" s="16" t="str">
        <x:v>ШТ</x:v>
      </x:c>
      <x:c r="F356" s="21" t="n">
        <x:v>33</x:v>
      </x:c>
      <x:c r="G356" s="17" t="n">
        <x:v>1333.0330000000001</x:v>
      </x:c>
      <x:c r="H356" s="17" t="n">
        <x:f>G356*F356</x:f>
        <x:v>43990.08900000001</x:v>
      </x:c>
      <x:c r="I356" s="22" t="str">
        <x:f>HYPERLINK("https://etp-aktiv.ru/catalog/materialy/truboprovody/2000552866-U121/","Открыть позицию")</x:f>
        <x:v>Открыть позицию</x:v>
      </x:c>
    </x:row>
    <x:row r="357" ht="28" customHeight="1">
      <x:c r="A357" s="16" t="str">
        <x:v>Кемеровская теплосетевая компания</x:v>
      </x:c>
      <x:c r="B357" s="16" t="str">
        <x:v>2000759542-U121</x:v>
      </x:c>
      <x:c r="C357" s="16" t="str">
        <x:v>МАНЖЕТА СТЕН ВВОДА СВ-125 РЕЗ ГОСТ30732</x:v>
      </x:c>
      <x:c r="D357" s="16" t="str">
        <x:v>Трубы и элементы трубопроводов теплоизолиров и футерованных</x:v>
      </x:c>
      <x:c r="E357" s="16" t="str">
        <x:v>ШТ</x:v>
      </x:c>
      <x:c r="F357" s="21" t="n">
        <x:v>4</x:v>
      </x:c>
      <x:c r="G357" s="17" t="n">
        <x:v>525.0025999999999</x:v>
      </x:c>
      <x:c r="H357" s="17" t="n">
        <x:f>G357*F357</x:f>
        <x:v>2100.0103999999997</x:v>
      </x:c>
      <x:c r="I357" s="22" t="str">
        <x:f>HYPERLINK("https://etp-aktiv.ru/catalog/materialy/truboprovody/2000759542-U121/","Открыть позицию")</x:f>
        <x:v>Открыть позицию</x:v>
      </x:c>
    </x:row>
    <x:row r="358" ht="28" customHeight="1">
      <x:c r="A358" s="16" t="str">
        <x:v>Кемеровская теплосетевая компания</x:v>
      </x:c>
      <x:c r="B358" s="16" t="str">
        <x:v>2000688028-U121</x:v>
      </x:c>
      <x:c r="C358" s="16" t="str">
        <x:v>МАНЖЕТА СТЕНОВОГО ВВОДА СВ-280 ГОСТ30732</x:v>
      </x:c>
      <x:c r="D358" s="16" t="str">
        <x:v>Трубы и элементы трубопроводов теплоизолиров и футерованных</x:v>
      </x:c>
      <x:c r="E358" s="16" t="str">
        <x:v>ШТ</x:v>
      </x:c>
      <x:c r="F358" s="21" t="n">
        <x:v>2</x:v>
      </x:c>
      <x:c r="G358" s="17" t="n">
        <x:v>833.5649999999999</x:v>
      </x:c>
      <x:c r="H358" s="17" t="n">
        <x:f>G358*F358</x:f>
        <x:v>1667.1299999999999</x:v>
      </x:c>
      <x:c r="I358" s="22" t="str">
        <x:f>HYPERLINK("https://etp-aktiv.ru/catalog/materialy/truboprovody/2000688028-U121/","Открыть позицию")</x:f>
        <x:v>Открыть позицию</x:v>
      </x:c>
    </x:row>
    <x:row r="359" ht="28" customHeight="1">
      <x:c r="A359" s="16" t="str">
        <x:v>Кемеровская теплосетевая компания</x:v>
      </x:c>
      <x:c r="B359" s="16" t="str">
        <x:v>2000383005-U121</x:v>
      </x:c>
      <x:c r="C359" s="16" t="str">
        <x:v>МУФТА DN32 PN16 ГОСТ8966-75</x:v>
      </x:c>
      <x:c r="D359" s="16" t="str">
        <x:v>Детали фасонные</x:v>
      </x:c>
      <x:c r="E359" s="16" t="str">
        <x:v>ШТ</x:v>
      </x:c>
      <x:c r="F359" s="21" t="n">
        <x:v>2</x:v>
      </x:c>
      <x:c r="G359" s="17" t="n">
        <x:v>130.43019999999999</x:v>
      </x:c>
      <x:c r="H359" s="17" t="n">
        <x:f>G359*F359</x:f>
        <x:v>260.86039999999997</x:v>
      </x:c>
      <x:c r="I359" s="22" t="str">
        <x:f>HYPERLINK("https://etp-aktiv.ru/catalog/materialy/truboprovody/2000383005-U121/","Открыть позицию")</x:f>
        <x:v>Открыть позицию</x:v>
      </x:c>
    </x:row>
    <x:row r="360" ht="28" customHeight="1">
      <x:c r="A360" s="16" t="str">
        <x:v>Кемеровская теплосетевая компания</x:v>
      </x:c>
      <x:c r="B360" s="16" t="str">
        <x:v>2000383004-U121</x:v>
      </x:c>
      <x:c r="C360" s="16" t="str">
        <x:v>МУФТА DN40 PN16 ГОСТ8966-75</x:v>
      </x:c>
      <x:c r="D360" s="16" t="str">
        <x:v>Детали фасонные</x:v>
      </x:c>
      <x:c r="E360" s="16" t="str">
        <x:v>ШТ</x:v>
      </x:c>
      <x:c r="F360" s="21" t="n">
        <x:v>2</x:v>
      </x:c>
      <x:c r="G360" s="17" t="n">
        <x:v>86.925</x:v>
      </x:c>
      <x:c r="H360" s="17" t="n">
        <x:f>G360*F360</x:f>
        <x:v>173.85</x:v>
      </x:c>
      <x:c r="I360" s="22" t="str">
        <x:f>HYPERLINK("https://etp-aktiv.ru/catalog/materialy/truboprovody/2000383004-U121/","Открыть позицию")</x:f>
        <x:v>Открыть позицию</x:v>
      </x:c>
    </x:row>
    <x:row r="361" ht="28" customHeight="1">
      <x:c r="A361" s="16" t="str">
        <x:v>Кемеровская теплосетевая компания</x:v>
      </x:c>
      <x:c r="B361" s="16" t="str">
        <x:v>2000320842-U121</x:v>
      </x:c>
      <x:c r="C361" s="16" t="str">
        <x:v>МУФТА DN50 PN16 ГОСТ8966-75</x:v>
      </x:c>
      <x:c r="D361" s="16" t="str">
        <x:v>Детали фасонные</x:v>
      </x:c>
      <x:c r="E361" s="16" t="str">
        <x:v>ШТ</x:v>
      </x:c>
      <x:c r="F361" s="21" t="n">
        <x:v>2</x:v>
      </x:c>
      <x:c r="G361" s="17" t="n">
        <x:v>86.925</x:v>
      </x:c>
      <x:c r="H361" s="17" t="n">
        <x:f>G361*F361</x:f>
        <x:v>173.85</x:v>
      </x:c>
      <x:c r="I361" s="22" t="str">
        <x:f>HYPERLINK("https://etp-aktiv.ru/catalog/materialy/truboprovody/2000320842-U121/","Открыть позицию")</x:f>
        <x:v>Открыть позицию</x:v>
      </x:c>
    </x:row>
    <x:row r="362" ht="28" customHeight="1">
      <x:c r="A362" s="16" t="str">
        <x:v>Кемеровская теплосетевая компания</x:v>
      </x:c>
      <x:c r="B362" s="16" t="str">
        <x:v>2000739020-U121</x:v>
      </x:c>
      <x:c r="C362" s="16" t="str">
        <x:v>ОПОРА 09Г2С 426*10 ТС-662.00.00-07</x:v>
      </x:c>
      <x:c r="D362" s="16" t="str">
        <x:v>Система опорно-подвесная</x:v>
      </x:c>
      <x:c r="E362" s="16" t="str">
        <x:v>ШТ</x:v>
      </x:c>
      <x:c r="F362" s="21" t="n">
        <x:v>1</x:v>
      </x:c>
      <x:c r="G362" s="17" t="n">
        <x:v>7899.5</x:v>
      </x:c>
      <x:c r="H362" s="17" t="n">
        <x:f>G362*F362</x:f>
        <x:v>7899.5</x:v>
      </x:c>
      <x:c r="I362" s="22" t="str">
        <x:f>HYPERLINK("https://etp-aktiv.ru/catalog/materialy/truboprovody/2000739020-U121/","Открыть позицию")</x:f>
        <x:v>Открыть позицию</x:v>
      </x:c>
    </x:row>
    <x:row r="363" ht="28" customHeight="1">
      <x:c r="A363" s="16" t="str">
        <x:v>Кемеровская теплосетевая компания</x:v>
      </x:c>
      <x:c r="B363" s="16" t="str">
        <x:v>2000903790-U121</x:v>
      </x:c>
      <x:c r="C363" s="16" t="str">
        <x:v>ОПОРА 09Г2С ТС-660.00.00-06 С5.903-13В7</x:v>
      </x:c>
      <x:c r="D363" s="16" t="str">
        <x:v>Система опорно-подвесная</x:v>
      </x:c>
      <x:c r="E363" s="16" t="str">
        <x:v>ШТ</x:v>
      </x:c>
      <x:c r="F363" s="21" t="n">
        <x:v>4</x:v>
      </x:c>
      <x:c r="G363" s="17" t="n">
        <x:v>978.2081999999999</x:v>
      </x:c>
      <x:c r="H363" s="17" t="n">
        <x:f>G363*F363</x:f>
        <x:v>3912.8327999999997</x:v>
      </x:c>
      <x:c r="I363" s="22" t="str">
        <x:f>HYPERLINK("https://etp-aktiv.ru/catalog/materialy/truboprovody/2000903790-U121/","Открыть позицию")</x:f>
        <x:v>Открыть позицию</x:v>
      </x:c>
    </x:row>
    <x:row r="364" ht="28" customHeight="1">
      <x:c r="A364" s="16" t="str">
        <x:v>Кемеровская теплосетевая компания</x:v>
      </x:c>
      <x:c r="B364" s="16" t="str">
        <x:v>2000553155-U121</x:v>
      </x:c>
      <x:c r="C364" s="16" t="str">
        <x:v>ОПОРА DН1020 ТС626.00.000-072 5.903-13В8</x:v>
      </x:c>
      <x:c r="D364" s="16" t="str">
        <x:v>Система опорно-подвесная</x:v>
      </x:c>
      <x:c r="E364" s="16" t="str">
        <x:v>ШТ</x:v>
      </x:c>
      <x:c r="F364" s="21" t="n">
        <x:v>1</x:v>
      </x:c>
      <x:c r="G364" s="17" t="n">
        <x:v>28955.931399999998</x:v>
      </x:c>
      <x:c r="H364" s="17" t="n">
        <x:f>G364*F364</x:f>
        <x:v>28955.931399999998</x:v>
      </x:c>
      <x:c r="I364" s="22" t="str">
        <x:f>HYPERLINK("https://etp-aktiv.ru/catalog/materialy/truboprovody/2000553155-U121/","Открыть позицию")</x:f>
        <x:v>Открыть позицию</x:v>
      </x:c>
    </x:row>
    <x:row r="365" ht="28" customHeight="1">
      <x:c r="A365" s="16" t="str">
        <x:v>Кемеровская теплосетевая компания</x:v>
      </x:c>
      <x:c r="B365" s="16" t="str">
        <x:v>2000553159-U121</x:v>
      </x:c>
      <x:c r="C365" s="16" t="str">
        <x:v>ОПОРА DН108 ТС660.00.00-06 С.5.903-13В.7</x:v>
      </x:c>
      <x:c r="D365" s="16" t="str">
        <x:v>Система опорно-подвесная</x:v>
      </x:c>
      <x:c r="E365" s="16" t="str">
        <x:v>ШТ</x:v>
      </x:c>
      <x:c r="F365" s="21" t="n">
        <x:v>2</x:v>
      </x:c>
      <x:c r="G365" s="17" t="n">
        <x:v>1002.23</x:v>
      </x:c>
      <x:c r="H365" s="17" t="n">
        <x:f>G365*F365</x:f>
        <x:v>2004.46</x:v>
      </x:c>
      <x:c r="I365" s="22" t="str">
        <x:f>HYPERLINK("https://etp-aktiv.ru/catalog/materialy/truboprovody/2000553159-U121/","Открыть позицию")</x:f>
        <x:v>Открыть позицию</x:v>
      </x:c>
    </x:row>
    <x:row r="366" ht="28" customHeight="1">
      <x:c r="A366" s="16" t="str">
        <x:v>Кемеровская теплосетевая компания</x:v>
      </x:c>
      <x:c r="B366" s="16" t="str">
        <x:v>2000553180-U121</x:v>
      </x:c>
      <x:c r="C366" s="16" t="str">
        <x:v>ОПОРА DН273 09Г2С ТС-626.00.000-015</x:v>
      </x:c>
      <x:c r="D366" s="16" t="str">
        <x:v>Система опорно-подвесная</x:v>
      </x:c>
      <x:c r="E366" s="16" t="str">
        <x:v>ШТ</x:v>
      </x:c>
      <x:c r="F366" s="21" t="n">
        <x:v>3</x:v>
      </x:c>
      <x:c r="G366" s="17" t="n">
        <x:v>806.9201999999999</x:v>
      </x:c>
      <x:c r="H366" s="17" t="n">
        <x:f>G366*F366</x:f>
        <x:v>2420.7605999999996</x:v>
      </x:c>
      <x:c r="I366" s="22" t="str">
        <x:f>HYPERLINK("https://etp-aktiv.ru/catalog/materialy/truboprovody/2000553180-U121/","Открыть позицию")</x:f>
        <x:v>Открыть позицию</x:v>
      </x:c>
    </x:row>
    <x:row r="367" ht="28" customHeight="1">
      <x:c r="A367" s="16" t="str">
        <x:v>Кемеровская теплосетевая компания</x:v>
      </x:c>
      <x:c r="B367" s="16" t="str">
        <x:v>2000553183-U121</x:v>
      </x:c>
      <x:c r="C367" s="16" t="str">
        <x:v>ОПОРА DН273 ТС666.00.00-04 С.5.903-13В.7</x:v>
      </x:c>
      <x:c r="D367" s="16" t="str">
        <x:v>Система опорно-подвесная</x:v>
      </x:c>
      <x:c r="E367" s="16" t="str">
        <x:v>ШТ</x:v>
      </x:c>
      <x:c r="F367" s="21" t="n">
        <x:v>4</x:v>
      </x:c>
      <x:c r="G367" s="17" t="n">
        <x:v>3507.1949999999997</x:v>
      </x:c>
      <x:c r="H367" s="17" t="n">
        <x:f>G367*F367</x:f>
        <x:v>14028.779999999999</x:v>
      </x:c>
      <x:c r="I367" s="22" t="str">
        <x:f>HYPERLINK("https://etp-aktiv.ru/catalog/materialy/truboprovody/2000553183-U121/","Открыть позицию")</x:f>
        <x:v>Открыть позицию</x:v>
      </x:c>
    </x:row>
    <x:row r="368" ht="28" customHeight="1">
      <x:c r="A368" s="16" t="str">
        <x:v>Кемеровская теплосетевая компания</x:v>
      </x:c>
      <x:c r="B368" s="16" t="str">
        <x:v>2000553187-U121</x:v>
      </x:c>
      <x:c r="C368" s="16" t="str">
        <x:v>ОПОРА DН325 09Г2C ТС-624.000-009 5.903</x:v>
      </x:c>
      <x:c r="D368" s="16" t="str">
        <x:v>Система опорно-подвесная</x:v>
      </x:c>
      <x:c r="E368" s="16" t="str">
        <x:v>ШТ</x:v>
      </x:c>
      <x:c r="F368" s="21" t="n">
        <x:v>2</x:v>
      </x:c>
      <x:c r="G368" s="17" t="n">
        <x:v>2257</x:v>
      </x:c>
      <x:c r="H368" s="17" t="n">
        <x:f>G368*F368</x:f>
        <x:v>4514</x:v>
      </x:c>
      <x:c r="I368" s="22" t="str">
        <x:f>HYPERLINK("https://etp-aktiv.ru/catalog/materialy/truboprovody/2000553187-U121/","Открыть позицию")</x:f>
        <x:v>Открыть позицию</x:v>
      </x:c>
    </x:row>
    <x:row r="369" ht="28" customHeight="1">
      <x:c r="A369" s="16" t="str">
        <x:v>Кемеровская теплосетевая компания</x:v>
      </x:c>
      <x:c r="B369" s="16" t="str">
        <x:v>2000553193-U121</x:v>
      </x:c>
      <x:c r="C369" s="16" t="str">
        <x:v>ОПОРА DН325 ТС661.00.00-04 С.5.903-13В.7</x:v>
      </x:c>
      <x:c r="D369" s="16" t="str">
        <x:v>Система опорно-подвесная</x:v>
      </x:c>
      <x:c r="E369" s="16" t="str">
        <x:v>ШТ</x:v>
      </x:c>
      <x:c r="F369" s="21" t="n">
        <x:v>4</x:v>
      </x:c>
      <x:c r="G369" s="17" t="n">
        <x:v>398.9278</x:v>
      </x:c>
      <x:c r="H369" s="17" t="n">
        <x:f>G369*F369</x:f>
        <x:v>1595.7112</x:v>
      </x:c>
      <x:c r="I369" s="22" t="str">
        <x:f>HYPERLINK("https://etp-aktiv.ru/catalog/materialy/truboprovody/2000553193-U121/","Открыть позицию")</x:f>
        <x:v>Открыть позицию</x:v>
      </x:c>
    </x:row>
    <x:row r="370" ht="28" customHeight="1">
      <x:c r="A370" s="16" t="str">
        <x:v>Кемеровская теплосетевая компания</x:v>
      </x:c>
      <x:c r="B370" s="16" t="str">
        <x:v>2000553200-U121</x:v>
      </x:c>
      <x:c r="C370" s="16" t="str">
        <x:v>ОПОРА DН426 ТС660.00.00.13 С.5.903-13В.7</x:v>
      </x:c>
      <x:c r="D370" s="16" t="str">
        <x:v>Система опорно-подвесная</x:v>
      </x:c>
      <x:c r="E370" s="16" t="str">
        <x:v>ШТ</x:v>
      </x:c>
      <x:c r="F370" s="21" t="n">
        <x:v>2</x:v>
      </x:c>
      <x:c r="G370" s="17" t="n">
        <x:v>4410.2756</x:v>
      </x:c>
      <x:c r="H370" s="17" t="n">
        <x:f>G370*F370</x:f>
        <x:v>8820.5512</x:v>
      </x:c>
      <x:c r="I370" s="22" t="str">
        <x:f>HYPERLINK("https://etp-aktiv.ru/catalog/materialy/truboprovody/2000553200-U121/","Открыть позицию")</x:f>
        <x:v>Открыть позицию</x:v>
      </x:c>
    </x:row>
    <x:row r="371" ht="28" customHeight="1">
      <x:c r="A371" s="16" t="str">
        <x:v>Кемеровская теплосетевая компания</x:v>
      </x:c>
      <x:c r="B371" s="16" t="str">
        <x:v>2000699871-U121</x:v>
      </x:c>
      <x:c r="C371" s="16" t="str">
        <x:v>ОПОРА DН426*9 09Г2С ТС-626.00.000-51</x:v>
      </x:c>
      <x:c r="D371" s="16" t="str">
        <x:v>Система опорно-подвесная</x:v>
      </x:c>
      <x:c r="E371" s="16" t="str">
        <x:v>ШТ</x:v>
      </x:c>
      <x:c r="F371" s="21" t="n">
        <x:v>5</x:v>
      </x:c>
      <x:c r="G371" s="17" t="n">
        <x:v>3625.84</x:v>
      </x:c>
      <x:c r="H371" s="17" t="n">
        <x:f>G371*F371</x:f>
        <x:v>18129.2</x:v>
      </x:c>
      <x:c r="I371" s="22" t="str">
        <x:f>HYPERLINK("https://etp-aktiv.ru/catalog/materialy/truboprovody/2000699871-U121/","Открыть позицию")</x:f>
        <x:v>Открыть позицию</x:v>
      </x:c>
    </x:row>
    <x:row r="372" ht="28" customHeight="1">
      <x:c r="A372" s="16" t="str">
        <x:v>Кемеровская теплосетевая компания</x:v>
      </x:c>
      <x:c r="B372" s="16" t="str">
        <x:v>2000562526-U121</x:v>
      </x:c>
      <x:c r="C372" s="16" t="str">
        <x:v>ОПОРА DН820 17Г1С ТС-626.00.000-067</x:v>
      </x:c>
      <x:c r="D372" s="16" t="str">
        <x:v>Система опорно-подвесная</x:v>
      </x:c>
      <x:c r="E372" s="16" t="str">
        <x:v>ШТ</x:v>
      </x:c>
      <x:c r="F372" s="21" t="n">
        <x:v>8</x:v>
      </x:c>
      <x:c r="G372" s="17" t="n">
        <x:v>2710.6936</x:v>
      </x:c>
      <x:c r="H372" s="17" t="n">
        <x:f>G372*F372</x:f>
        <x:v>21685.5488</x:v>
      </x:c>
      <x:c r="I372" s="22" t="str">
        <x:f>HYPERLINK("https://etp-aktiv.ru/catalog/materialy/truboprovody/2000562526-U121/","Открыть позицию")</x:f>
        <x:v>Открыть позицию</x:v>
      </x:c>
    </x:row>
    <x:row r="373" ht="28" customHeight="1">
      <x:c r="A373" s="16" t="str">
        <x:v>Кемеровская теплосетевая компания</x:v>
      </x:c>
      <x:c r="B373" s="16" t="str">
        <x:v>2000553239-U121</x:v>
      </x:c>
      <x:c r="C373" s="16" t="str">
        <x:v>ОПОРА DУ32 ТС-623.000 С.5.903-13 В.8</x:v>
      </x:c>
      <x:c r="D373" s="16" t="str">
        <x:v>Система опорно-подвесная</x:v>
      </x:c>
      <x:c r="E373" s="16" t="str">
        <x:v>ШТ</x:v>
      </x:c>
      <x:c r="F373" s="21" t="n">
        <x:v>1</x:v>
      </x:c>
      <x:c r="G373" s="17" t="n">
        <x:v>70.0524</x:v>
      </x:c>
      <x:c r="H373" s="17" t="n">
        <x:f>G373*F373</x:f>
        <x:v>70.0524</x:v>
      </x:c>
      <x:c r="I373" s="22" t="str">
        <x:f>HYPERLINK("https://etp-aktiv.ru/catalog/materialy/truboprovody/2000553239-U121/","Открыть позицию")</x:f>
        <x:v>Открыть позицию</x:v>
      </x:c>
    </x:row>
    <x:row r="374" ht="28" customHeight="1">
      <x:c r="A374" s="16" t="str">
        <x:v>Кемеровская теплосетевая компания</x:v>
      </x:c>
      <x:c r="B374" s="16" t="str">
        <x:v>2000975710-U121</x:v>
      </x:c>
      <x:c r="C374" s="16" t="str">
        <x:v>ОПОРА НАПРАВЛЯЮЩАЯ DN400 4245.22-ТС</x:v>
      </x:c>
      <x:c r="D374" s="16" t="str">
        <x:v>Система опорно-подвесная</x:v>
      </x:c>
      <x:c r="E374" s="16" t="str">
        <x:v>ШТ</x:v>
      </x:c>
      <x:c r="F374" s="21" t="n">
        <x:v>4</x:v>
      </x:c>
      <x:c r="G374" s="17" t="n">
        <x:v>33543.9</x:v>
      </x:c>
      <x:c r="H374" s="17" t="n">
        <x:f>G374*F374</x:f>
        <x:v>134175.6</x:v>
      </x:c>
      <x:c r="I374" s="22" t="str">
        <x:f>HYPERLINK("https://etp-aktiv.ru/catalog/materialy/truboprovody/2000975710-U121/","Открыть позицию")</x:f>
        <x:v>Открыть позицию</x:v>
      </x:c>
    </x:row>
    <x:row r="375" ht="28" customHeight="1">
      <x:c r="A375" s="16" t="str">
        <x:v>Кемеровская теплосетевая компания</x:v>
      </x:c>
      <x:c r="B375" s="16" t="str">
        <x:v>2000562576-U121</x:v>
      </x:c>
      <x:c r="C375" s="16" t="str">
        <x:v>ОПОРА НЕП ЩИТ 530 17Г1С ТС-666.00.00-09</x:v>
      </x:c>
      <x:c r="D375" s="16" t="str">
        <x:v>Система опорно-подвесная</x:v>
      </x:c>
      <x:c r="E375" s="16" t="str">
        <x:v>ШТ</x:v>
      </x:c>
      <x:c r="F375" s="21" t="n">
        <x:v>6</x:v>
      </x:c>
      <x:c r="G375" s="17" t="n">
        <x:v>11172.15</x:v>
      </x:c>
      <x:c r="H375" s="17" t="n">
        <x:f>G375*F375</x:f>
        <x:v>67032.9</x:v>
      </x:c>
      <x:c r="I375" s="22" t="str">
        <x:f>HYPERLINK("https://etp-aktiv.ru/catalog/materialy/truboprovody/2000562576-U121/","Открыть позицию")</x:f>
        <x:v>Открыть позицию</x:v>
      </x:c>
    </x:row>
    <x:row r="376" ht="28" customHeight="1">
      <x:c r="A376" s="16" t="str">
        <x:v>Кемеровская теплосетевая компания</x:v>
      </x:c>
      <x:c r="B376" s="16" t="str">
        <x:v>2000572801-U121</x:v>
      </x:c>
      <x:c r="C376" s="16" t="str">
        <x:v>ОПОРА НЕП Э 426*7 ТС-661.00.00-06 СТ20</x:v>
      </x:c>
      <x:c r="D376" s="16" t="str">
        <x:v>Система опорно-подвесная</x:v>
      </x:c>
      <x:c r="E376" s="16" t="str">
        <x:v>ШТ</x:v>
      </x:c>
      <x:c r="F376" s="21" t="n">
        <x:v>2</x:v>
      </x:c>
      <x:c r="G376" s="17" t="n">
        <x:v>11400.9</x:v>
      </x:c>
      <x:c r="H376" s="17" t="n">
        <x:f>G376*F376</x:f>
        <x:v>22801.8</x:v>
      </x:c>
      <x:c r="I376" s="22" t="str">
        <x:f>HYPERLINK("https://etp-aktiv.ru/catalog/materialy/truboprovody/2000572801-U121/","Открыть позицию")</x:f>
        <x:v>Открыть позицию</x:v>
      </x:c>
    </x:row>
    <x:row r="377" ht="28" customHeight="1">
      <x:c r="A377" s="16" t="str">
        <x:v>Кемеровская теплосетевая компания</x:v>
      </x:c>
      <x:c r="B377" s="16" t="str">
        <x:v>2000636994-U121</x:v>
      </x:c>
      <x:c r="C377" s="16" t="str">
        <x:v>ОПОРА НЕП Э 630*8 17Г1С ТС-666.00.00-10</x:v>
      </x:c>
      <x:c r="D377" s="16" t="str">
        <x:v>Система опорно-подвесная</x:v>
      </x:c>
      <x:c r="E377" s="16" t="str">
        <x:v>ШТ</x:v>
      </x:c>
      <x:c r="F377" s="21" t="n">
        <x:v>1</x:v>
      </x:c>
      <x:c r="G377" s="17" t="n">
        <x:v>6413.6986</x:v>
      </x:c>
      <x:c r="H377" s="17" t="n">
        <x:f>G377*F377</x:f>
        <x:v>6413.6986</x:v>
      </x:c>
      <x:c r="I377" s="22" t="str">
        <x:f>HYPERLINK("https://etp-aktiv.ru/catalog/materialy/truboprovody/2000636994-U121/","Открыть позицию")</x:f>
        <x:v>Открыть позицию</x:v>
      </x:c>
    </x:row>
    <x:row r="378" ht="28" customHeight="1">
      <x:c r="A378" s="16" t="str">
        <x:v>Кемеровская теплосетевая компания</x:v>
      </x:c>
      <x:c r="B378" s="16" t="str">
        <x:v>2000971583-U121</x:v>
      </x:c>
      <x:c r="C378" s="16" t="str">
        <x:v>ОПОРА НЕПОД СТ20 DN219 ТС-666.00.00-03</x:v>
      </x:c>
      <x:c r="D378" s="16" t="str">
        <x:v>Система опорно-подвесная</x:v>
      </x:c>
      <x:c r="E378" s="16" t="str">
        <x:v>ШТ</x:v>
      </x:c>
      <x:c r="F378" s="21" t="n">
        <x:v>2</x:v>
      </x:c>
      <x:c r="G378" s="17" t="n">
        <x:v>2868.525</x:v>
      </x:c>
      <x:c r="H378" s="17" t="n">
        <x:f>G378*F378</x:f>
        <x:v>5737.05</x:v>
      </x:c>
      <x:c r="I378" s="22" t="str">
        <x:f>HYPERLINK("https://etp-aktiv.ru/catalog/materialy/truboprovody/2000971583-U121/","Открыть позицию")</x:f>
        <x:v>Открыть позицию</x:v>
      </x:c>
    </x:row>
    <x:row r="379" ht="28" customHeight="1">
      <x:c r="A379" s="16" t="str">
        <x:v>Кемеровская теплосетевая компания</x:v>
      </x:c>
      <x:c r="B379" s="16" t="str">
        <x:v>2000695860-U121</x:v>
      </x:c>
      <x:c r="C379" s="16" t="str">
        <x:v>ОПОРА НЕПОД Э 820*9 17Г1С ТС661.00.00-10</x:v>
      </x:c>
      <x:c r="D379" s="16" t="str">
        <x:v>Система опорно-подвесная</x:v>
      </x:c>
      <x:c r="E379" s="16" t="str">
        <x:v>ШТ</x:v>
      </x:c>
      <x:c r="F379" s="21" t="n">
        <x:v>4</x:v>
      </x:c>
      <x:c r="G379" s="17" t="n">
        <x:v>10245.3282</x:v>
      </x:c>
      <x:c r="H379" s="17" t="n">
        <x:f>G379*F379</x:f>
        <x:v>40981.3128</x:v>
      </x:c>
      <x:c r="I379" s="22" t="str">
        <x:f>HYPERLINK("https://etp-aktiv.ru/catalog/materialy/truboprovody/2000695860-U121/","Открыть позицию")</x:f>
        <x:v>Открыть позицию</x:v>
      </x:c>
    </x:row>
    <x:row r="380" ht="28" customHeight="1">
      <x:c r="A380" s="16" t="str">
        <x:v>Кемеровская теплосетевая компания</x:v>
      </x:c>
      <x:c r="B380" s="16" t="str">
        <x:v>2001037906-U121</x:v>
      </x:c>
      <x:c r="C380" s="16" t="str">
        <x:v>ОПОРА НЕПОДВ 09Г2С 325*8/650*25 1ППУ-ПЭ</x:v>
      </x:c>
      <x:c r="D380" s="16" t="str">
        <x:v>Трубы и элементы трубопроводов теплоизолиров и футерованных</x:v>
      </x:c>
      <x:c r="E380" s="16" t="str">
        <x:v>ШТ</x:v>
      </x:c>
      <x:c r="F380" s="21" t="n">
        <x:v>4</x:v>
      </x:c>
      <x:c r="G380" s="17" t="n">
        <x:v>76082.25</x:v>
      </x:c>
      <x:c r="H380" s="17" t="n">
        <x:f>G380*F380</x:f>
        <x:v>304329</x:v>
      </x:c>
      <x:c r="I380" s="22" t="str">
        <x:f>HYPERLINK("https://etp-aktiv.ru/catalog/materialy/truboprovody/2001037906-U121/","Открыть позицию")</x:f>
        <x:v>Открыть позицию</x:v>
      </x:c>
    </x:row>
    <x:row r="381" ht="28" customHeight="1">
      <x:c r="A381" s="16" t="str">
        <x:v>Кемеровская теплосетевая компания</x:v>
      </x:c>
      <x:c r="B381" s="16" t="str">
        <x:v>2000960729-U121</x:v>
      </x:c>
      <x:c r="C381" s="16" t="str">
        <x:v>ОПОРА НЕПОДВ СТ219-460*24-ППУ1-ПЭ Г30732</x:v>
      </x:c>
      <x:c r="D381" s="16" t="str">
        <x:v>Система опорно-подвесная</x:v>
      </x:c>
      <x:c r="E381" s="16" t="str">
        <x:v>ШТ</x:v>
      </x:c>
      <x:c r="F381" s="21" t="n">
        <x:v>2</x:v>
      </x:c>
      <x:c r="G381" s="17" t="n">
        <x:v>30348.719999999998</x:v>
      </x:c>
      <x:c r="H381" s="17" t="n">
        <x:f>G381*F381</x:f>
        <x:v>60697.439999999995</x:v>
      </x:c>
      <x:c r="I381" s="22" t="str">
        <x:f>HYPERLINK("https://etp-aktiv.ru/catalog/materialy/truboprovody/2000960729-U121/","Открыть позицию")</x:f>
        <x:v>Открыть позицию</x:v>
      </x:c>
    </x:row>
    <x:row r="382" ht="28" customHeight="1">
      <x:c r="A382" s="16" t="str">
        <x:v>Кемеровская теплосетевая компания</x:v>
      </x:c>
      <x:c r="B382" s="16" t="str">
        <x:v>2000623740-U121</x:v>
      </x:c>
      <x:c r="C382" s="16" t="str">
        <x:v>ОПОРА НЕПОДВИЖНАЯ DN530 ТС-662.00.00-08</x:v>
      </x:c>
      <x:c r="D382" s="16" t="str">
        <x:v>Система опорно-подвесная</x:v>
      </x:c>
      <x:c r="E382" s="16" t="str">
        <x:v>ШТ</x:v>
      </x:c>
      <x:c r="F382" s="21" t="n">
        <x:v>2</x:v>
      </x:c>
      <x:c r="G382" s="17" t="n">
        <x:v>6380.295</x:v>
      </x:c>
      <x:c r="H382" s="17" t="n">
        <x:f>G382*F382</x:f>
        <x:v>12760.59</x:v>
      </x:c>
      <x:c r="I382" s="22" t="str">
        <x:f>HYPERLINK("https://etp-aktiv.ru/catalog/materialy/truboprovody/2000623740-U121/","Открыть позицию")</x:f>
        <x:v>Открыть позицию</x:v>
      </x:c>
    </x:row>
    <x:row r="383" ht="28" customHeight="1">
      <x:c r="A383" s="16" t="str">
        <x:v>Кемеровская теплосетевая компания</x:v>
      </x:c>
      <x:c r="B383" s="16" t="str">
        <x:v>2000980451-U121</x:v>
      </x:c>
      <x:c r="C383" s="16" t="str">
        <x:v>ОПОРА ОП1 316/03-12-2022-АС Л14</x:v>
      </x:c>
      <x:c r="D383" s="16" t="str">
        <x:v>Система опорно-подвесная</x:v>
      </x:c>
      <x:c r="E383" s="16" t="str">
        <x:v>ШТ</x:v>
      </x:c>
      <x:c r="F383" s="21" t="n">
        <x:v>2</x:v>
      </x:c>
      <x:c r="G383" s="17" t="n">
        <x:v>8230.425</x:v>
      </x:c>
      <x:c r="H383" s="17" t="n">
        <x:f>G383*F383</x:f>
        <x:v>16460.85</x:v>
      </x:c>
      <x:c r="I383" s="22" t="str">
        <x:f>HYPERLINK("https://etp-aktiv.ru/catalog/materialy/truboprovody/2000980451-U121/","Открыть позицию")</x:f>
        <x:v>Открыть позицию</x:v>
      </x:c>
    </x:row>
    <x:row r="384" ht="28" customHeight="1">
      <x:c r="A384" s="16" t="str">
        <x:v>Кемеровская теплосетевая компания</x:v>
      </x:c>
      <x:c r="B384" s="16" t="str">
        <x:v>2000980452-U121</x:v>
      </x:c>
      <x:c r="C384" s="16" t="str">
        <x:v>ОПОРА ОП2 316/03-12-2022-АС Л14</x:v>
      </x:c>
      <x:c r="D384" s="16" t="str">
        <x:v>Система опорно-подвесная</x:v>
      </x:c>
      <x:c r="E384" s="16" t="str">
        <x:v>ШТ</x:v>
      </x:c>
      <x:c r="F384" s="21" t="n">
        <x:v>2</x:v>
      </x:c>
      <x:c r="G384" s="17" t="n">
        <x:v>5485.425</x:v>
      </x:c>
      <x:c r="H384" s="17" t="n">
        <x:f>G384*F384</x:f>
        <x:v>10970.85</x:v>
      </x:c>
      <x:c r="I384" s="22" t="str">
        <x:f>HYPERLINK("https://etp-aktiv.ru/catalog/materialy/truboprovody/2000980452-U121/","Открыть позицию")</x:f>
        <x:v>Открыть позицию</x:v>
      </x:c>
    </x:row>
    <x:row r="385" ht="28" customHeight="1">
      <x:c r="A385" s="16" t="str">
        <x:v>Кемеровская теплосетевая компания</x:v>
      </x:c>
      <x:c r="B385" s="16" t="str">
        <x:v>2000990287-U121</x:v>
      </x:c>
      <x:c r="C385" s="16" t="str">
        <x:v>ОПОРА П/ЗАДВИЖКУ DN400 3525.20-ТС Л6</x:v>
      </x:c>
      <x:c r="D385" s="16" t="str">
        <x:v>Система опорно-подвесная</x:v>
      </x:c>
      <x:c r="E385" s="16" t="str">
        <x:v>ШТ</x:v>
      </x:c>
      <x:c r="F385" s="21" t="n">
        <x:v>2</x:v>
      </x:c>
      <x:c r="G385" s="17" t="n">
        <x:v>11764.154999999999</x:v>
      </x:c>
      <x:c r="H385" s="17" t="n">
        <x:f>G385*F385</x:f>
        <x:v>23528.309999999998</x:v>
      </x:c>
      <x:c r="I385" s="22" t="str">
        <x:f>HYPERLINK("https://etp-aktiv.ru/catalog/materialy/truboprovody/2000990287-U121/","Открыть позицию")</x:f>
        <x:v>Открыть позицию</x:v>
      </x:c>
    </x:row>
    <x:row r="386" ht="28" customHeight="1">
      <x:c r="A386" s="16" t="str">
        <x:v>Кемеровская теплосетевая компания</x:v>
      </x:c>
      <x:c r="B386" s="16" t="str">
        <x:v>2000980472-U121</x:v>
      </x:c>
      <x:c r="C386" s="16" t="str">
        <x:v>ОПОРА ПОД ЗАТВОР DN400 4246.22-ТС Л13</x:v>
      </x:c>
      <x:c r="D386" s="16" t="str">
        <x:v>Система опорно-подвесная</x:v>
      </x:c>
      <x:c r="E386" s="16" t="str">
        <x:v>ШТ</x:v>
      </x:c>
      <x:c r="F386" s="21" t="n">
        <x:v>2</x:v>
      </x:c>
      <x:c r="G386" s="17" t="n">
        <x:v>10975.425</x:v>
      </x:c>
      <x:c r="H386" s="17" t="n">
        <x:f>G386*F386</x:f>
        <x:v>21950.85</x:v>
      </x:c>
      <x:c r="I386" s="22" t="str">
        <x:f>HYPERLINK("https://etp-aktiv.ru/catalog/materialy/truboprovody/2000980472-U121/","Открыть позицию")</x:f>
        <x:v>Открыть позицию</x:v>
      </x:c>
    </x:row>
    <x:row r="387" ht="28" customHeight="1">
      <x:c r="A387" s="16" t="str">
        <x:v>Кемеровская теплосетевая компания</x:v>
      </x:c>
      <x:c r="B387" s="16" t="str">
        <x:v>2000980471-U121</x:v>
      </x:c>
      <x:c r="C387" s="16" t="str">
        <x:v>ОПОРА ПОД ЗАТВОР DN500 4246.22-ТС Л12</x:v>
      </x:c>
      <x:c r="D387" s="16" t="str">
        <x:v>Система опорно-подвесная</x:v>
      </x:c>
      <x:c r="E387" s="16" t="str">
        <x:v>ШТ</x:v>
      </x:c>
      <x:c r="F387" s="21" t="n">
        <x:v>2</x:v>
      </x:c>
      <x:c r="G387" s="17" t="n">
        <x:v>32020.425</x:v>
      </x:c>
      <x:c r="H387" s="17" t="n">
        <x:f>G387*F387</x:f>
        <x:v>64040.85</x:v>
      </x:c>
      <x:c r="I387" s="22" t="str">
        <x:f>HYPERLINK("https://etp-aktiv.ru/catalog/materialy/truboprovody/2000980471-U121/","Открыть позицию")</x:f>
        <x:v>Открыть позицию</x:v>
      </x:c>
    </x:row>
    <x:row r="388" ht="28" customHeight="1">
      <x:c r="A388" s="16" t="str">
        <x:v>Кемеровская теплосетевая компания</x:v>
      </x:c>
      <x:c r="B388" s="16" t="str">
        <x:v>2000926623-U121</x:v>
      </x:c>
      <x:c r="C388" s="16" t="str">
        <x:v>ОПОРА ПОД ЗАТВОР DN700 3488.20-ТС2.2 Л11</x:v>
      </x:c>
      <x:c r="D388" s="16" t="str">
        <x:v>Система опорно-подвесная</x:v>
      </x:c>
      <x:c r="E388" s="16" t="str">
        <x:v>ШТ</x:v>
      </x:c>
      <x:c r="F388" s="21" t="n">
        <x:v>4</x:v>
      </x:c>
      <x:c r="G388" s="17" t="n">
        <x:v>17934</x:v>
      </x:c>
      <x:c r="H388" s="17" t="n">
        <x:f>G388*F388</x:f>
        <x:v>71736</x:v>
      </x:c>
      <x:c r="I388" s="22" t="str">
        <x:f>HYPERLINK("https://etp-aktiv.ru/catalog/materialy/truboprovody/2000926623-U121/","Открыть позицию")</x:f>
        <x:v>Открыть позицию</x:v>
      </x:c>
    </x:row>
    <x:row r="389" ht="28" customHeight="1">
      <x:c r="A389" s="16" t="str">
        <x:v>Кемеровская теплосетевая компания</x:v>
      </x:c>
      <x:c r="B389" s="16" t="str">
        <x:v>2000562536-U121</x:v>
      </x:c>
      <x:c r="C389" s="16" t="str">
        <x:v>ОПОРА СКОЛ DН630 17Г1С ТС-626.00.000-060</x:v>
      </x:c>
      <x:c r="D389" s="16" t="str">
        <x:v>Система опорно-подвесная</x:v>
      </x:c>
      <x:c r="E389" s="16" t="str">
        <x:v>ШТ</x:v>
      </x:c>
      <x:c r="F389" s="21" t="n">
        <x:v>1</x:v>
      </x:c>
      <x:c r="G389" s="17" t="n">
        <x:v>8023.1836</x:v>
      </x:c>
      <x:c r="H389" s="17" t="n">
        <x:f>G389*F389</x:f>
        <x:v>8023.1836</x:v>
      </x:c>
      <x:c r="I389" s="22" t="str">
        <x:f>HYPERLINK("https://etp-aktiv.ru/catalog/materialy/truboprovody/2000562536-U121/","Открыть позицию")</x:f>
        <x:v>Открыть позицию</x:v>
      </x:c>
    </x:row>
    <x:row r="390" ht="28" customHeight="1">
      <x:c r="A390" s="16" t="str">
        <x:v>Кемеровская теплосетевая компания</x:v>
      </x:c>
      <x:c r="B390" s="16" t="str">
        <x:v>2000517474-U121</x:v>
      </x:c>
      <x:c r="C390" s="16" t="str">
        <x:v>ОПОРА СКОЛЬ 09Г2С DN219 ТС626.00.000-012</x:v>
      </x:c>
      <x:c r="D390" s="16" t="str">
        <x:v>Система опорно-подвесная</x:v>
      </x:c>
      <x:c r="E390" s="16" t="str">
        <x:v>ШТ</x:v>
      </x:c>
      <x:c r="F390" s="21" t="n">
        <x:v>2</x:v>
      </x:c>
      <x:c r="G390" s="17" t="n">
        <x:v>1569.9814</x:v>
      </x:c>
      <x:c r="H390" s="17" t="n">
        <x:f>G390*F390</x:f>
        <x:v>3139.9628</x:v>
      </x:c>
      <x:c r="I390" s="22" t="str">
        <x:f>HYPERLINK("https://etp-aktiv.ru/catalog/materialy/truboprovody/2000517474-U121/","Открыть позицию")</x:f>
        <x:v>Открыть позицию</x:v>
      </x:c>
    </x:row>
    <x:row r="391" ht="28" customHeight="1">
      <x:c r="A391" s="16" t="str">
        <x:v>Кемеровская теплосетевая компания</x:v>
      </x:c>
      <x:c r="B391" s="16" t="str">
        <x:v>2000572798-U121</x:v>
      </x:c>
      <x:c r="C391" s="16" t="str">
        <x:v>ОПОРА СКОЛЬЗ 1020*10 ТС-626.00-073 17Г1С</x:v>
      </x:c>
      <x:c r="D391" s="16" t="str">
        <x:v>Система опорно-подвесная</x:v>
      </x:c>
      <x:c r="E391" s="16" t="str">
        <x:v>ШТ</x:v>
      </x:c>
      <x:c r="F391" s="21" t="n">
        <x:v>11</x:v>
      </x:c>
      <x:c r="G391" s="17" t="n">
        <x:v>15349.125</x:v>
      </x:c>
      <x:c r="H391" s="17" t="n">
        <x:f>G391*F391</x:f>
        <x:v>168840.375</x:v>
      </x:c>
      <x:c r="I391" s="22" t="str">
        <x:f>HYPERLINK("https://etp-aktiv.ru/catalog/materialy/truboprovody/2000572798-U121/","Открыть позицию")</x:f>
        <x:v>Открыть позицию</x:v>
      </x:c>
    </x:row>
    <x:row r="392" ht="28" customHeight="1">
      <x:c r="A392" s="16" t="str">
        <x:v>Кемеровская теплосетевая компания</x:v>
      </x:c>
      <x:c r="B392" s="16" t="str">
        <x:v>2000654811-U121</x:v>
      </x:c>
      <x:c r="C392" s="16" t="str">
        <x:v>ОПОРА СКОЛЬЗ DN820 624.000-058 С5.903-13</x:v>
      </x:c>
      <x:c r="D392" s="16" t="str">
        <x:v>Система опорно-подвесная</x:v>
      </x:c>
      <x:c r="E392" s="16" t="str">
        <x:v>ШТ</x:v>
      </x:c>
      <x:c r="F392" s="21" t="n">
        <x:v>1</x:v>
      </x:c>
      <x:c r="G392" s="17" t="n">
        <x:v>6519.375</x:v>
      </x:c>
      <x:c r="H392" s="17" t="n">
        <x:f>G392*F392</x:f>
        <x:v>6519.375</x:v>
      </x:c>
      <x:c r="I392" s="22" t="str">
        <x:f>HYPERLINK("https://etp-aktiv.ru/catalog/materialy/truboprovody/2000654811-U121/","Открыть позицию")</x:f>
        <x:v>Открыть позицию</x:v>
      </x:c>
    </x:row>
    <x:row r="393" ht="28" customHeight="1">
      <x:c r="A393" s="16" t="str">
        <x:v>Кемеровская теплосетевая компания</x:v>
      </x:c>
      <x:c r="B393" s="16" t="str">
        <x:v>2000908987-U121</x:v>
      </x:c>
      <x:c r="C393" s="16" t="str">
        <x:v>ОПОРА СКОЛЬЗ ДУ800 3916.21-ТС1.1 Л.14</x:v>
      </x:c>
      <x:c r="D393" s="16" t="str">
        <x:v>Система опорно-подвесная</x:v>
      </x:c>
      <x:c r="E393" s="16" t="str">
        <x:v>ШТ</x:v>
      </x:c>
      <x:c r="F393" s="21" t="n">
        <x:v>36</x:v>
      </x:c>
      <x:c r="G393" s="17" t="n">
        <x:v>8555.25</x:v>
      </x:c>
      <x:c r="H393" s="17" t="n">
        <x:f>G393*F393</x:f>
        <x:v>307989</x:v>
      </x:c>
      <x:c r="I393" s="22" t="str">
        <x:f>HYPERLINK("https://etp-aktiv.ru/catalog/materialy/truboprovody/2000908987-U121/","Открыть позицию")</x:f>
        <x:v>Открыть позицию</x:v>
      </x:c>
    </x:row>
    <x:row r="394" ht="28" customHeight="1">
      <x:c r="A394" s="16" t="str">
        <x:v>Кемеровская теплосетевая компания</x:v>
      </x:c>
      <x:c r="B394" s="16" t="str">
        <x:v>2000990909-U121</x:v>
      </x:c>
      <x:c r="C394" s="16" t="str">
        <x:v>ОПОРА СКОЛЬЗЯЩАЯ 159 1-ППУ-ПЭ ГОСТ30732</x:v>
      </x:c>
      <x:c r="D394" s="16" t="str">
        <x:v>Трубы и элементы трубопроводов теплоизолиров и футерованных</x:v>
      </x:c>
      <x:c r="E394" s="16" t="str">
        <x:v>ШТ</x:v>
      </x:c>
      <x:c r="F394" s="21" t="n">
        <x:v>4</x:v>
      </x:c>
      <x:c r="G394" s="17" t="n">
        <x:v>1526.22</x:v>
      </x:c>
      <x:c r="H394" s="17" t="n">
        <x:f>G394*F394</x:f>
        <x:v>6104.88</x:v>
      </x:c>
      <x:c r="I394" s="22" t="str">
        <x:f>HYPERLINK("https://etp-aktiv.ru/catalog/materialy/truboprovody/2000990909-U121/","Открыть позицию")</x:f>
        <x:v>Открыть позицию</x:v>
      </x:c>
    </x:row>
    <x:row r="395" ht="28" customHeight="1">
      <x:c r="A395" s="16" t="str">
        <x:v>Кемеровская теплосетевая компания</x:v>
      </x:c>
      <x:c r="B395" s="16" t="str">
        <x:v>2001018457-U121</x:v>
      </x:c>
      <x:c r="C395" s="16" t="str">
        <x:v>ОПОРА СКОЛЬЗЯЩАЯ DN1000 4392.23-ТС Л9</x:v>
      </x:c>
      <x:c r="D395" s="16" t="str">
        <x:v>Система опорно-подвесная</x:v>
      </x:c>
      <x:c r="E395" s="16" t="str">
        <x:v>ШТ</x:v>
      </x:c>
      <x:c r="F395" s="21" t="n">
        <x:v>6</x:v>
      </x:c>
      <x:c r="G395" s="17" t="n">
        <x:v>12144.795</x:v>
      </x:c>
      <x:c r="H395" s="17" t="n">
        <x:f>G395*F395</x:f>
        <x:v>72868.77</x:v>
      </x:c>
      <x:c r="I395" s="22" t="str">
        <x:f>HYPERLINK("https://etp-aktiv.ru/catalog/materialy/truboprovody/2001018457-U121/","Открыть позицию")</x:f>
        <x:v>Открыть позицию</x:v>
      </x:c>
    </x:row>
    <x:row r="396" ht="28" customHeight="1">
      <x:c r="A396" s="16" t="str">
        <x:v>Кемеровская теплосетевая компания</x:v>
      </x:c>
      <x:c r="B396" s="16" t="str">
        <x:v>2001021540-U121</x:v>
      </x:c>
      <x:c r="C396" s="16" t="str">
        <x:v>ОПОРА СКОЛЬЗЯЩАЯ DN400 4372.23-ТС</x:v>
      </x:c>
      <x:c r="D396" s="16" t="str">
        <x:v>Система опорно-подвесная</x:v>
      </x:c>
      <x:c r="E396" s="16" t="str">
        <x:v>ШТ</x:v>
      </x:c>
      <x:c r="F396" s="21" t="n">
        <x:v>10</x:v>
      </x:c>
      <x:c r="G396" s="17" t="n">
        <x:v>9389.73</x:v>
      </x:c>
      <x:c r="H396" s="17" t="n">
        <x:f>G396*F396</x:f>
        <x:v>93897.29999999999</x:v>
      </x:c>
      <x:c r="I396" s="22" t="str">
        <x:f>HYPERLINK("https://etp-aktiv.ru/catalog/materialy/truboprovody/2001021540-U121/","Открыть позицию")</x:f>
        <x:v>Открыть позицию</x:v>
      </x:c>
    </x:row>
    <x:row r="397" ht="28" customHeight="1">
      <x:c r="A397" s="16" t="str">
        <x:v>Кемеровская теплосетевая компания</x:v>
      </x:c>
      <x:c r="B397" s="16" t="str">
        <x:v>2000680074-U121</x:v>
      </x:c>
      <x:c r="C397" s="16" t="str">
        <x:v>ОПОРА Э 159*4,5 ТС-626.000-006 С.5.903</x:v>
      </x:c>
      <x:c r="D397" s="16" t="str">
        <x:v>Система опорно-подвесная</x:v>
      </x:c>
      <x:c r="E397" s="16" t="str">
        <x:v>ШТ</x:v>
      </x:c>
      <x:c r="F397" s="21" t="n">
        <x:v>6</x:v>
      </x:c>
      <x:c r="G397" s="17" t="n">
        <x:v>1010.16</x:v>
      </x:c>
      <x:c r="H397" s="17" t="n">
        <x:f>G397*F397</x:f>
        <x:v>6060.96</x:v>
      </x:c>
      <x:c r="I397" s="22" t="str">
        <x:f>HYPERLINK("https://etp-aktiv.ru/catalog/materialy/truboprovody/2000680074-U121/","Открыть позицию")</x:f>
        <x:v>Открыть позицию</x:v>
      </x:c>
    </x:row>
    <x:row r="398" ht="28" customHeight="1">
      <x:c r="A398" s="16" t="str">
        <x:v>Кемеровская теплосетевая компания</x:v>
      </x:c>
      <x:c r="B398" s="16" t="str">
        <x:v>2001000755-U121</x:v>
      </x:c>
      <x:c r="C398" s="16" t="str">
        <x:v>ОТВОД 09Г2С 219*7 90° 1-ППУ-ПЭ ГОСТ30732</x:v>
      </x:c>
      <x:c r="D398" s="16" t="str">
        <x:v>Трубы и элементы трубопроводов теплоизолиров и футерованных</x:v>
      </x:c>
      <x:c r="E398" s="16" t="str">
        <x:v>ШТ</x:v>
      </x:c>
      <x:c r="F398" s="21" t="n">
        <x:v>4</x:v>
      </x:c>
      <x:c r="G398" s="17" t="n">
        <x:v>19715.505</x:v>
      </x:c>
      <x:c r="H398" s="17" t="n">
        <x:f>G398*F398</x:f>
        <x:v>78862.02</x:v>
      </x:c>
      <x:c r="I398" s="22" t="str">
        <x:f>HYPERLINK("https://etp-aktiv.ru/catalog/materialy/truboprovody/2001000755-U121/","Открыть позицию")</x:f>
        <x:v>Открыть позицию</x:v>
      </x:c>
    </x:row>
    <x:row r="399" ht="28" customHeight="1">
      <x:c r="A399" s="16" t="str">
        <x:v>Кемеровская теплосетевая компания</x:v>
      </x:c>
      <x:c r="B399" s="16" t="str">
        <x:v>2000845909-U121</x:v>
      </x:c>
      <x:c r="C399" s="16" t="str">
        <x:v>ОТВОД 15° 09Г2С DN219*7 25 ТС-583.000-03</x:v>
      </x:c>
      <x:c r="D399" s="16" t="str">
        <x:v>Детали фасонные</x:v>
      </x:c>
      <x:c r="E399" s="16" t="str">
        <x:v>ШТ</x:v>
      </x:c>
      <x:c r="F399" s="21" t="n">
        <x:v>2</x:v>
      </x:c>
      <x:c r="G399" s="17" t="n">
        <x:v>1415.2366</x:v>
      </x:c>
      <x:c r="H399" s="17" t="n">
        <x:f>G399*F399</x:f>
        <x:v>2830.4732</x:v>
      </x:c>
      <x:c r="I399" s="22" t="str">
        <x:f>HYPERLINK("https://etp-aktiv.ru/catalog/materialy/truboprovody/2000845909-U121/","Открыть позицию")</x:f>
        <x:v>Открыть позицию</x:v>
      </x:c>
    </x:row>
    <x:row r="400" ht="28" customHeight="1">
      <x:c r="A400" s="16" t="str">
        <x:v>Кемеровская теплосетевая компания</x:v>
      </x:c>
      <x:c r="B400" s="16" t="str">
        <x:v>2000630156-U121</x:v>
      </x:c>
      <x:c r="C400" s="16" t="str">
        <x:v>ОТВОД 45° 09Г2С DN273 9 PN2,5 ГОСТ30753</x:v>
      </x:c>
      <x:c r="D400" s="16" t="str">
        <x:v>Детали фасонные</x:v>
      </x:c>
      <x:c r="E400" s="16" t="str">
        <x:v>ШТ</x:v>
      </x:c>
      <x:c r="F400" s="21" t="n">
        <x:v>1</x:v>
      </x:c>
      <x:c r="G400" s="17" t="n">
        <x:v>6313.5</x:v>
      </x:c>
      <x:c r="H400" s="17" t="n">
        <x:f>G400*F400</x:f>
        <x:v>6313.5</x:v>
      </x:c>
      <x:c r="I400" s="22" t="str">
        <x:f>HYPERLINK("https://etp-aktiv.ru/catalog/materialy/truboprovody/2000630156-U121/","Открыть позицию")</x:f>
        <x:v>Открыть позицию</x:v>
      </x:c>
    </x:row>
    <x:row r="401" ht="28" customHeight="1">
      <x:c r="A401" s="16" t="str">
        <x:v>Кемеровская теплосетевая компания</x:v>
      </x:c>
      <x:c r="B401" s="16" t="str">
        <x:v>2000554338-U121</x:v>
      </x:c>
      <x:c r="C401" s="16" t="str">
        <x:v>ОТВОД 45° 09Г2С DN57*3 ГОСТ17375-01</x:v>
      </x:c>
      <x:c r="D401" s="16" t="str">
        <x:v>Детали фасонные</x:v>
      </x:c>
      <x:c r="E401" s="16" t="str">
        <x:v>ШТ</x:v>
      </x:c>
      <x:c r="F401" s="21" t="n">
        <x:v>2</x:v>
      </x:c>
      <x:c r="G401" s="17" t="n">
        <x:v>178.42499999999998</x:v>
      </x:c>
      <x:c r="H401" s="17" t="n">
        <x:f>G401*F401</x:f>
        <x:v>356.84999999999997</x:v>
      </x:c>
      <x:c r="I401" s="22" t="str">
        <x:f>HYPERLINK("https://etp-aktiv.ru/catalog/materialy/truboprovody/2000554338-U121/","Открыть позицию")</x:f>
        <x:v>Открыть позицию</x:v>
      </x:c>
    </x:row>
    <x:row r="402" ht="28" customHeight="1">
      <x:c r="A402" s="16" t="str">
        <x:v>Кемеровская теплосетевая компания</x:v>
      </x:c>
      <x:c r="B402" s="16" t="str">
        <x:v>2000554298-U121</x:v>
      </x:c>
      <x:c r="C402" s="16" t="str">
        <x:v>ОТВОД 45° СТ17Г1С 1020*10 ТС-583.000-175</x:v>
      </x:c>
      <x:c r="D402" s="16" t="str">
        <x:v>Детали фасонные</x:v>
      </x:c>
      <x:c r="E402" s="16" t="str">
        <x:v>ШТ</x:v>
      </x:c>
      <x:c r="F402" s="21" t="n">
        <x:v>1</x:v>
      </x:c>
      <x:c r="G402" s="17" t="n">
        <x:v>33493.392</x:v>
      </x:c>
      <x:c r="H402" s="17" t="n">
        <x:f>G402*F402</x:f>
        <x:v>33493.392</x:v>
      </x:c>
      <x:c r="I402" s="22" t="str">
        <x:f>HYPERLINK("https://etp-aktiv.ru/catalog/materialy/truboprovody/2000554298-U121/","Открыть позицию")</x:f>
        <x:v>Открыть позицию</x:v>
      </x:c>
    </x:row>
    <x:row r="403" ht="28" customHeight="1">
      <x:c r="A403" s="16" t="str">
        <x:v>Кемеровская теплосетевая компания</x:v>
      </x:c>
      <x:c r="B403" s="16" t="str">
        <x:v>2000554364-U121</x:v>
      </x:c>
      <x:c r="C403" s="16" t="str">
        <x:v>ОТВОД 60 09Г2С 273*10 ТС 582.08 5.903-13</x:v>
      </x:c>
      <x:c r="D403" s="16" t="str">
        <x:v>Детали фасонные</x:v>
      </x:c>
      <x:c r="E403" s="16" t="str">
        <x:v>ШТ</x:v>
      </x:c>
      <x:c r="F403" s="21" t="n">
        <x:v>4</x:v>
      </x:c>
      <x:c r="G403" s="17" t="n">
        <x:v>9760</x:v>
      </x:c>
      <x:c r="H403" s="17" t="n">
        <x:f>G403*F403</x:f>
        <x:v>39040</x:v>
      </x:c>
      <x:c r="I403" s="22" t="str">
        <x:f>HYPERLINK("https://etp-aktiv.ru/catalog/materialy/truboprovody/2000554364-U121/","Открыть позицию")</x:f>
        <x:v>Открыть позицию</x:v>
      </x:c>
    </x:row>
    <x:row r="404" ht="28" customHeight="1">
      <x:c r="A404" s="16" t="str">
        <x:v>Кемеровская теплосетевая компания</x:v>
      </x:c>
      <x:c r="B404" s="16" t="str">
        <x:v>2000258954-U121</x:v>
      </x:c>
      <x:c r="C404" s="16" t="str">
        <x:v>ОТВОД 60° 09Г2С DN89 3,5 PN40 ТС-582-03</x:v>
      </x:c>
      <x:c r="D404" s="16" t="str">
        <x:v>Детали фасонные</x:v>
      </x:c>
      <x:c r="E404" s="16" t="str">
        <x:v>ШТ</x:v>
      </x:c>
      <x:c r="F404" s="21" t="n">
        <x:v>1</x:v>
      </x:c>
      <x:c r="G404" s="17" t="n">
        <x:v>233.325</x:v>
      </x:c>
      <x:c r="H404" s="17" t="n">
        <x:f>G404*F404</x:f>
        <x:v>233.325</x:v>
      </x:c>
      <x:c r="I404" s="22" t="str">
        <x:f>HYPERLINK("https://etp-aktiv.ru/catalog/materialy/truboprovody/2000258954-U121/","Открыть позицию")</x:f>
        <x:v>Открыть позицию</x:v>
      </x:c>
    </x:row>
    <x:row r="405" ht="28" customHeight="1">
      <x:c r="A405" s="16" t="str">
        <x:v>Кемеровская теплосетевая компания</x:v>
      </x:c>
      <x:c r="B405" s="16" t="str">
        <x:v>2000554374-U121</x:v>
      </x:c>
      <x:c r="C405" s="16" t="str">
        <x:v>ОТВОД 60° СТ20 DN76*3,5 ГОСТ17375-01</x:v>
      </x:c>
      <x:c r="D405" s="16" t="str">
        <x:v>Детали фасонные</x:v>
      </x:c>
      <x:c r="E405" s="16" t="str">
        <x:v>ШТ</x:v>
      </x:c>
      <x:c r="F405" s="21" t="n">
        <x:v>2</x:v>
      </x:c>
      <x:c r="G405" s="17" t="n">
        <x:v>245.525</x:v>
      </x:c>
      <x:c r="H405" s="17" t="n">
        <x:f>G405*F405</x:f>
        <x:v>491.05</x:v>
      </x:c>
      <x:c r="I405" s="22" t="str">
        <x:f>HYPERLINK("https://etp-aktiv.ru/catalog/materialy/truboprovody/2000554374-U121/","Открыть позицию")</x:f>
        <x:v>Открыть позицию</x:v>
      </x:c>
    </x:row>
    <x:row r="406" ht="28" customHeight="1">
      <x:c r="A406" s="16" t="str">
        <x:v>Кемеровская теплосетевая компания</x:v>
      </x:c>
      <x:c r="B406" s="16" t="str">
        <x:v>2000554534-U121</x:v>
      </x:c>
      <x:c r="C406" s="16" t="str">
        <x:v>ОТВОД 90 17Г1С 820*9-1,6 ТС583-264 5.903</x:v>
      </x:c>
      <x:c r="D406" s="16" t="str">
        <x:v>Детали фасонные</x:v>
      </x:c>
      <x:c r="E406" s="16" t="str">
        <x:v>ШТ</x:v>
      </x:c>
      <x:c r="F406" s="21" t="n">
        <x:v>7</x:v>
      </x:c>
      <x:c r="G406" s="17" t="n">
        <x:v>36548.089</x:v>
      </x:c>
      <x:c r="H406" s="17" t="n">
        <x:f>G406*F406</x:f>
        <x:v>255836.623</x:v>
      </x:c>
      <x:c r="I406" s="22" t="str">
        <x:f>HYPERLINK("https://etp-aktiv.ru/catalog/materialy/truboprovody/2000554534-U121/","Открыть позицию")</x:f>
        <x:v>Открыть позицию</x:v>
      </x:c>
    </x:row>
    <x:row r="407" ht="28" customHeight="1">
      <x:c r="A407" s="16" t="str">
        <x:v>Кемеровская теплосетевая компания</x:v>
      </x:c>
      <x:c r="B407" s="16" t="str">
        <x:v>2000568170-U121</x:v>
      </x:c>
      <x:c r="C407" s="16" t="str">
        <x:v>ОТВОД 90° 09Г2С 1020*10-1,6 ТС-583-268</x:v>
      </x:c>
      <x:c r="D407" s="16" t="str">
        <x:v>Детали фасонные</x:v>
      </x:c>
      <x:c r="E407" s="16" t="str">
        <x:v>ШТ</x:v>
      </x:c>
      <x:c r="F407" s="21" t="n">
        <x:v>1</x:v>
      </x:c>
      <x:c r="G407" s="17" t="n">
        <x:v>60542.5</x:v>
      </x:c>
      <x:c r="H407" s="17" t="n">
        <x:f>G407*F407</x:f>
        <x:v>60542.5</x:v>
      </x:c>
      <x:c r="I407" s="22" t="str">
        <x:f>HYPERLINK("https://etp-aktiv.ru/catalog/materialy/truboprovody/2000568170-U121/","Открыть позицию")</x:f>
        <x:v>Открыть позицию</x:v>
      </x:c>
    </x:row>
    <x:row r="408" ht="28" customHeight="1">
      <x:c r="A408" s="16" t="str">
        <x:v>Кемеровская теплосетевая компания</x:v>
      </x:c>
      <x:c r="B408" s="16" t="str">
        <x:v>M2000554429-U121</x:v>
      </x:c>
      <x:c r="C408" s="16" t="str">
        <x:v>ОТВОД 90° 09Г2С 219*6 ТС 582.28 5.903-13</x:v>
      </x:c>
      <x:c r="D408" s="16" t="str">
        <x:v>Детали фасонные</x:v>
      </x:c>
      <x:c r="E408" s="16" t="str">
        <x:v>ШТ</x:v>
      </x:c>
      <x:c r="F408" s="21" t="n">
        <x:v>4</x:v>
      </x:c>
      <x:c r="G408" s="17" t="n">
        <x:v>3725.0016</x:v>
      </x:c>
      <x:c r="H408" s="17" t="n">
        <x:f>G408*F408</x:f>
        <x:v>14900.0064</x:v>
      </x:c>
      <x:c r="I408" s="22" t="str">
        <x:f>HYPERLINK("https://etp-aktiv.ru/catalog/materialy/truboprovody/M2000554429-U121/","Открыть позицию")</x:f>
        <x:v>Открыть позицию</x:v>
      </x:c>
    </x:row>
    <x:row r="409" ht="28" customHeight="1">
      <x:c r="A409" s="16" t="str">
        <x:v>Кемеровская теплосетевая компания</x:v>
      </x:c>
      <x:c r="B409" s="16" t="str">
        <x:v>2000220104-U121</x:v>
      </x:c>
      <x:c r="C409" s="16" t="str">
        <x:v>ОТВОД 90° 09Г2С D219*6 ГОСТ17375-83</x:v>
      </x:c>
      <x:c r="D409" s="16" t="str">
        <x:v>Детали фасонные</x:v>
      </x:c>
      <x:c r="E409" s="16" t="str">
        <x:v>ШТ</x:v>
      </x:c>
      <x:c r="F409" s="21" t="n">
        <x:v>4</x:v>
      </x:c>
      <x:c r="G409" s="17" t="n">
        <x:v>2280.0458</x:v>
      </x:c>
      <x:c r="H409" s="17" t="n">
        <x:f>G409*F409</x:f>
        <x:v>9120.1832</x:v>
      </x:c>
      <x:c r="I409" s="22" t="str">
        <x:f>HYPERLINK("https://etp-aktiv.ru/catalog/materialy/truboprovody/2000220104-U121/","Открыть позицию")</x:f>
        <x:v>Открыть позицию</x:v>
      </x:c>
    </x:row>
    <x:row r="410" ht="28" customHeight="1">
      <x:c r="A410" s="16" t="str">
        <x:v>Кемеровская теплосетевая компания</x:v>
      </x:c>
      <x:c r="B410" s="16" t="str">
        <x:v>2000554387-U121</x:v>
      </x:c>
      <x:c r="C410" s="16" t="str">
        <x:v>ОТВОД 90° 09Г2С DN108*4 ГОСТ17375-01</x:v>
      </x:c>
      <x:c r="D410" s="16" t="str">
        <x:v>Детали фасонные</x:v>
      </x:c>
      <x:c r="E410" s="16" t="str">
        <x:v>ШТ</x:v>
      </x:c>
      <x:c r="F410" s="21" t="n">
        <x:v>1</x:v>
      </x:c>
      <x:c r="G410" s="17" t="n">
        <x:v>457.08520000000004</x:v>
      </x:c>
      <x:c r="H410" s="17" t="n">
        <x:f>G410*F410</x:f>
        <x:v>457.08520000000004</x:v>
      </x:c>
      <x:c r="I410" s="22" t="str">
        <x:f>HYPERLINK("https://etp-aktiv.ru/catalog/materialy/truboprovody/2000554387-U121/","Открыть позицию")</x:f>
        <x:v>Открыть позицию</x:v>
      </x:c>
    </x:row>
    <x:row r="411" ht="28" customHeight="1">
      <x:c r="A411" s="16" t="str">
        <x:v>Кемеровская теплосетевая компания</x:v>
      </x:c>
      <x:c r="B411" s="16" t="str">
        <x:v>2000554405-U121</x:v>
      </x:c>
      <x:c r="C411" s="16" t="str">
        <x:v>ОТВОД 90° 09Г2С DN133*5 ГОСТ30753-01</x:v>
      </x:c>
      <x:c r="D411" s="16" t="str">
        <x:v>Детали фасонные</x:v>
      </x:c>
      <x:c r="E411" s="16" t="str">
        <x:v>ШТ</x:v>
      </x:c>
      <x:c r="F411" s="21" t="n">
        <x:v>2</x:v>
      </x:c>
      <x:c r="G411" s="17" t="n">
        <x:v>2946.2999999999997</x:v>
      </x:c>
      <x:c r="H411" s="17" t="n">
        <x:f>G411*F411</x:f>
        <x:v>5892.599999999999</x:v>
      </x:c>
      <x:c r="I411" s="22" t="str">
        <x:f>HYPERLINK("https://etp-aktiv.ru/catalog/materialy/truboprovody/2000554405-U121/","Открыть позицию")</x:f>
        <x:v>Открыть позицию</x:v>
      </x:c>
    </x:row>
    <x:row r="412" ht="28" customHeight="1">
      <x:c r="A412" s="16" t="str">
        <x:v>Кемеровская теплосетевая компания</x:v>
      </x:c>
      <x:c r="B412" s="16" t="str">
        <x:v>2000334458-U121</x:v>
      </x:c>
      <x:c r="C412" s="16" t="str">
        <x:v>ОТВОД 90° 09Г2С DN219 7 ГОСТ30753-2001</x:v>
      </x:c>
      <x:c r="D412" s="16" t="str">
        <x:v>Детали фасонные</x:v>
      </x:c>
      <x:c r="E412" s="16" t="str">
        <x:v>ШТ</x:v>
      </x:c>
      <x:c r="F412" s="21" t="n">
        <x:v>1</x:v>
      </x:c>
      <x:c r="G412" s="17" t="n">
        <x:v>4099.797799999999</x:v>
      </x:c>
      <x:c r="H412" s="17" t="n">
        <x:f>G412*F412</x:f>
        <x:v>4099.797799999999</x:v>
      </x:c>
      <x:c r="I412" s="22" t="str">
        <x:f>HYPERLINK("https://etp-aktiv.ru/catalog/materialy/truboprovody/2000334458-U121/","Открыть позицию")</x:f>
        <x:v>Открыть позицию</x:v>
      </x:c>
    </x:row>
    <x:row r="413" ht="28" customHeight="1">
      <x:c r="A413" s="16" t="str">
        <x:v>Кемеровская теплосетевая компания</x:v>
      </x:c>
      <x:c r="B413" s="16" t="str">
        <x:v>2000239377-U121</x:v>
      </x:c>
      <x:c r="C413" s="16" t="str">
        <x:v>ОТВОД 90° 09Г2С DN219 8 PN40 ТС-582-07</x:v>
      </x:c>
      <x:c r="D413" s="16" t="str">
        <x:v>Детали фасонные</x:v>
      </x:c>
      <x:c r="E413" s="16" t="str">
        <x:v>ШТ</x:v>
      </x:c>
      <x:c r="F413" s="21" t="n">
        <x:v>2</x:v>
      </x:c>
      <x:c r="G413" s="17" t="n">
        <x:v>3949.9939999999997</x:v>
      </x:c>
      <x:c r="H413" s="17" t="n">
        <x:f>G413*F413</x:f>
        <x:v>7899.987999999999</x:v>
      </x:c>
      <x:c r="I413" s="22" t="str">
        <x:f>HYPERLINK("https://etp-aktiv.ru/catalog/materialy/truboprovody/2000239377-U121/","Открыть позицию")</x:f>
        <x:v>Открыть позицию</x:v>
      </x:c>
    </x:row>
    <x:row r="414" ht="28" customHeight="1">
      <x:c r="A414" s="16" t="str">
        <x:v>Кемеровская теплосетевая компания</x:v>
      </x:c>
      <x:c r="B414" s="16" t="str">
        <x:v>2000554423-U121</x:v>
      </x:c>
      <x:c r="C414" s="16" t="str">
        <x:v>ОТВОД 90° 09Г2С DN219*10 ГОСТ17375-01</x:v>
      </x:c>
      <x:c r="D414" s="16" t="str">
        <x:v>Детали фасонные</x:v>
      </x:c>
      <x:c r="E414" s="16" t="str">
        <x:v>ШТ</x:v>
      </x:c>
      <x:c r="F414" s="21" t="n">
        <x:v>2</x:v>
      </x:c>
      <x:c r="G414" s="17" t="n">
        <x:v>6327.115199999999</x:v>
      </x:c>
      <x:c r="H414" s="17" t="n">
        <x:f>G414*F414</x:f>
        <x:v>12654.230399999999</x:v>
      </x:c>
      <x:c r="I414" s="22" t="str">
        <x:f>HYPERLINK("https://etp-aktiv.ru/catalog/materialy/truboprovody/2000554423-U121/","Открыть позицию")</x:f>
        <x:v>Открыть позицию</x:v>
      </x:c>
    </x:row>
    <x:row r="415" ht="28" customHeight="1">
      <x:c r="A415" s="16" t="str">
        <x:v>Кемеровская теплосетевая компания</x:v>
      </x:c>
      <x:c r="B415" s="16" t="str">
        <x:v>2000554433-U121</x:v>
      </x:c>
      <x:c r="C415" s="16" t="str">
        <x:v>ОТВОД 90° 09Г2С DN219*8 ГОСТ30753-2001</x:v>
      </x:c>
      <x:c r="D415" s="16" t="str">
        <x:v>Детали фасонные</x:v>
      </x:c>
      <x:c r="E415" s="16" t="str">
        <x:v>ШТ</x:v>
      </x:c>
      <x:c r="F415" s="21" t="n">
        <x:v>6</x:v>
      </x:c>
      <x:c r="G415" s="17" t="n">
        <x:v>3655.4249999999997</x:v>
      </x:c>
      <x:c r="H415" s="17" t="n">
        <x:f>G415*F415</x:f>
        <x:v>21932.55</x:v>
      </x:c>
      <x:c r="I415" s="22" t="str">
        <x:f>HYPERLINK("https://etp-aktiv.ru/catalog/materialy/truboprovody/2000554433-U121/","Открыть позицию")</x:f>
        <x:v>Открыть позицию</x:v>
      </x:c>
    </x:row>
    <x:row r="416" ht="28" customHeight="1">
      <x:c r="A416" s="16" t="str">
        <x:v>Кемеровская теплосетевая компания</x:v>
      </x:c>
      <x:c r="B416" s="16" t="str">
        <x:v>2000746416-U121</x:v>
      </x:c>
      <x:c r="C416" s="16" t="str">
        <x:v>ОТВОД 90° 09Г2С DN426 10 ГОСТ30753-01</x:v>
      </x:c>
      <x:c r="D416" s="16" t="str">
        <x:v>Детали фасонные</x:v>
      </x:c>
      <x:c r="E416" s="16" t="str">
        <x:v>ШТ</x:v>
      </x:c>
      <x:c r="F416" s="21" t="n">
        <x:v>1</x:v>
      </x:c>
      <x:c r="G416" s="17" t="n">
        <x:v>17380.425</x:v>
      </x:c>
      <x:c r="H416" s="17" t="n">
        <x:f>G416*F416</x:f>
        <x:v>17380.425</x:v>
      </x:c>
      <x:c r="I416" s="22" t="str">
        <x:f>HYPERLINK("https://etp-aktiv.ru/catalog/materialy/truboprovody/2000746416-U121/","Открыть позицию")</x:f>
        <x:v>Открыть позицию</x:v>
      </x:c>
    </x:row>
    <x:row r="417" ht="28" customHeight="1">
      <x:c r="A417" s="16" t="str">
        <x:v>Кемеровская теплосетевая компания</x:v>
      </x:c>
      <x:c r="B417" s="16" t="str">
        <x:v>2000245625-U121</x:v>
      </x:c>
      <x:c r="C417" s="16" t="str">
        <x:v>ОТВОД 90° 09Г2С DN426 10 ТС-582-36</x:v>
      </x:c>
      <x:c r="D417" s="16" t="str">
        <x:v>Детали фасонные</x:v>
      </x:c>
      <x:c r="E417" s="16" t="str">
        <x:v>ШТ</x:v>
      </x:c>
      <x:c r="F417" s="21" t="n">
        <x:v>8</x:v>
      </x:c>
      <x:c r="G417" s="17" t="n">
        <x:v>18993.57</x:v>
      </x:c>
      <x:c r="H417" s="17" t="n">
        <x:f>G417*F417</x:f>
        <x:v>151948.56</x:v>
      </x:c>
      <x:c r="I417" s="22" t="str">
        <x:f>HYPERLINK("https://etp-aktiv.ru/catalog/materialy/truboprovody/2000245625-U121/","Открыть позицию")</x:f>
        <x:v>Открыть позицию</x:v>
      </x:c>
    </x:row>
    <x:row r="418" ht="28" customHeight="1">
      <x:c r="A418" s="16" t="str">
        <x:v>Кемеровская теплосетевая компания</x:v>
      </x:c>
      <x:c r="B418" s="16" t="str">
        <x:v>2000211040-U121</x:v>
      </x:c>
      <x:c r="C418" s="16" t="str">
        <x:v>ОТВОД 90° 09Г2С DN57 3 PN40 ТС-582-16</x:v>
      </x:c>
      <x:c r="D418" s="16" t="str">
        <x:v>Детали фасонные</x:v>
      </x:c>
      <x:c r="E418" s="16" t="str">
        <x:v>ШТ</x:v>
      </x:c>
      <x:c r="F418" s="21" t="n">
        <x:v>1</x:v>
      </x:c>
      <x:c r="G418" s="17" t="n">
        <x:v>158.539</x:v>
      </x:c>
      <x:c r="H418" s="17" t="n">
        <x:f>G418*F418</x:f>
        <x:v>158.539</x:v>
      </x:c>
      <x:c r="I418" s="22" t="str">
        <x:f>HYPERLINK("https://etp-aktiv.ru/catalog/materialy/truboprovody/2000211040-U121/","Открыть позицию")</x:f>
        <x:v>Открыть позицию</x:v>
      </x:c>
    </x:row>
    <x:row r="419" ht="28" customHeight="1">
      <x:c r="A419" s="16" t="str">
        <x:v>Кемеровская теплосетевая компания</x:v>
      </x:c>
      <x:c r="B419" s="16" t="str">
        <x:v>2000521651-U121</x:v>
      </x:c>
      <x:c r="C419" s="16" t="str">
        <x:v>ОТВОД 90° 09Г2С DN630 12 ГОСТ30753-200</x:v>
      </x:c>
      <x:c r="D419" s="16" t="str">
        <x:v>Детали фасонные</x:v>
      </x:c>
      <x:c r="E419" s="16" t="str">
        <x:v>ШТ</x:v>
      </x:c>
      <x:c r="F419" s="21" t="n">
        <x:v>3</x:v>
      </x:c>
      <x:c r="G419" s="17" t="n">
        <x:v>22156.7006</x:v>
      </x:c>
      <x:c r="H419" s="17" t="n">
        <x:f>G419*F419</x:f>
        <x:v>66470.1018</x:v>
      </x:c>
      <x:c r="I419" s="22" t="str">
        <x:f>HYPERLINK("https://etp-aktiv.ru/catalog/materialy/truboprovody/2000521651-U121/","Открыть позицию")</x:f>
        <x:v>Открыть позицию</x:v>
      </x:c>
    </x:row>
    <x:row r="420" ht="28" customHeight="1">
      <x:c r="A420" s="16" t="str">
        <x:v>Кемеровская теплосетевая компания</x:v>
      </x:c>
      <x:c r="B420" s="16" t="str">
        <x:v>2001018454-U121</x:v>
      </x:c>
      <x:c r="C420" s="16" t="str">
        <x:v>ОТВОД 90° 10Г2 DN76*4 ГОСТ17375-2001</x:v>
      </x:c>
      <x:c r="D420" s="16" t="str">
        <x:v>Детали фасонные</x:v>
      </x:c>
      <x:c r="E420" s="16" t="str">
        <x:v>ШТ</x:v>
      </x:c>
      <x:c r="F420" s="21" t="n">
        <x:v>21</x:v>
      </x:c>
      <x:c r="G420" s="17" t="n">
        <x:v>232.39780000000002</x:v>
      </x:c>
      <x:c r="H420" s="17" t="n">
        <x:f>G420*F420</x:f>
        <x:v>4880.353800000001</x:v>
      </x:c>
      <x:c r="I420" s="22" t="str">
        <x:f>HYPERLINK("https://etp-aktiv.ru/catalog/materialy/truboprovody/2001018454-U121/","Открыть позицию")</x:f>
        <x:v>Открыть позицию</x:v>
      </x:c>
    </x:row>
    <x:row r="421" ht="28" customHeight="1">
      <x:c r="A421" s="16" t="str">
        <x:v>Кемеровская теплосетевая компания</x:v>
      </x:c>
      <x:c r="B421" s="16" t="str">
        <x:v>2000172229-U121</x:v>
      </x:c>
      <x:c r="C421" s="16" t="str">
        <x:v>ОТВОД 90° 12Х18Н10Т DN57 5 ГОСТ17375-01</x:v>
      </x:c>
      <x:c r="D421" s="16" t="str">
        <x:v>Детали фасонные</x:v>
      </x:c>
      <x:c r="E421" s="16" t="str">
        <x:v>ШТ</x:v>
      </x:c>
      <x:c r="F421" s="21" t="n">
        <x:v>6</x:v>
      </x:c>
      <x:c r="G421" s="17" t="n">
        <x:v>594.75</x:v>
      </x:c>
      <x:c r="H421" s="17" t="n">
        <x:f>G421*F421</x:f>
        <x:v>3568.5</x:v>
      </x:c>
      <x:c r="I421" s="22" t="str">
        <x:f>HYPERLINK("https://etp-aktiv.ru/catalog/materialy/truboprovody/2000172229-U121/","Открыть позицию")</x:f>
        <x:v>Открыть позицию</x:v>
      </x:c>
    </x:row>
    <x:row r="422" ht="28" customHeight="1">
      <x:c r="A422" s="16" t="str">
        <x:v>Кемеровская теплосетевая компания</x:v>
      </x:c>
      <x:c r="B422" s="16" t="str">
        <x:v>2000660598-U121</x:v>
      </x:c>
      <x:c r="C422" s="16" t="str">
        <x:v>ОТВОД 90° 17Г1С 630*12 ТС-583.000-243</x:v>
      </x:c>
      <x:c r="D422" s="16" t="str">
        <x:v>Детали фасонные</x:v>
      </x:c>
      <x:c r="E422" s="16" t="str">
        <x:v>ШТ</x:v>
      </x:c>
      <x:c r="F422" s="21" t="n">
        <x:v>7</x:v>
      </x:c>
      <x:c r="G422" s="17" t="n">
        <x:v>33469.968</x:v>
      </x:c>
      <x:c r="H422" s="17" t="n">
        <x:f>G422*F422</x:f>
        <x:v>234289.776</x:v>
      </x:c>
      <x:c r="I422" s="22" t="str">
        <x:f>HYPERLINK("https://etp-aktiv.ru/catalog/materialy/truboprovody/2000660598-U121/","Открыть позицию")</x:f>
        <x:v>Открыть позицию</x:v>
      </x:c>
    </x:row>
    <x:row r="423" ht="28" customHeight="1">
      <x:c r="A423" s="16" t="str">
        <x:v>Кемеровская теплосетевая компания</x:v>
      </x:c>
      <x:c r="B423" s="16" t="str">
        <x:v>2000554508-U121</x:v>
      </x:c>
      <x:c r="C423" s="16" t="str">
        <x:v>ОТВОД 90° 17Г1С DN630*9 ГОСТ17375-01</x:v>
      </x:c>
      <x:c r="D423" s="16" t="str">
        <x:v>Детали фасонные</x:v>
      </x:c>
      <x:c r="E423" s="16" t="str">
        <x:v>ШТ</x:v>
      </x:c>
      <x:c r="F423" s="21" t="n">
        <x:v>4</x:v>
      </x:c>
      <x:c r="G423" s="17" t="n">
        <x:v>33850.424999999996</x:v>
      </x:c>
      <x:c r="H423" s="17" t="n">
        <x:f>G423*F423</x:f>
        <x:v>135401.69999999998</x:v>
      </x:c>
      <x:c r="I423" s="22" t="str">
        <x:f>HYPERLINK("https://etp-aktiv.ru/catalog/materialy/truboprovody/2000554508-U121/","Открыть позицию")</x:f>
        <x:v>Открыть позицию</x:v>
      </x:c>
    </x:row>
    <x:row r="424" ht="28" customHeight="1">
      <x:c r="A424" s="16" t="str">
        <x:v>Кемеровская теплосетевая компания</x:v>
      </x:c>
      <x:c r="B424" s="16" t="str">
        <x:v>2000570968-U121</x:v>
      </x:c>
      <x:c r="C424" s="16" t="str">
        <x:v>ОТВОД 90° 273*10 09Г2С ТС-582-08</x:v>
      </x:c>
      <x:c r="D424" s="16" t="str">
        <x:v>Детали фасонные</x:v>
      </x:c>
      <x:c r="E424" s="16" t="str">
        <x:v>ШТ</x:v>
      </x:c>
      <x:c r="F424" s="21" t="n">
        <x:v>4</x:v>
      </x:c>
      <x:c r="G424" s="17" t="n">
        <x:v>9760</x:v>
      </x:c>
      <x:c r="H424" s="17" t="n">
        <x:f>G424*F424</x:f>
        <x:v>39040</x:v>
      </x:c>
      <x:c r="I424" s="22" t="str">
        <x:f>HYPERLINK("https://etp-aktiv.ru/catalog/materialy/truboprovody/2000570968-U121/","Открыть позицию")</x:f>
        <x:v>Открыть позицию</x:v>
      </x:c>
    </x:row>
    <x:row r="425" ht="28" customHeight="1">
      <x:c r="A425" s="16" t="str">
        <x:v>Кемеровская теплосетевая компания</x:v>
      </x:c>
      <x:c r="B425" s="16" t="str">
        <x:v>M2000636027-U121</x:v>
      </x:c>
      <x:c r="C425" s="16" t="str">
        <x:v>ОТВОД 90° В20 57*3 ТС-582-01 С.5.903-13</x:v>
      </x:c>
      <x:c r="D425" s="16" t="str">
        <x:v>Детали фасонные</x:v>
      </x:c>
      <x:c r="E425" s="16" t="str">
        <x:v>ШТ</x:v>
      </x:c>
      <x:c r="F425" s="21" t="n">
        <x:v>2</x:v>
      </x:c>
      <x:c r="G425" s="17" t="n">
        <x:v>164.7</x:v>
      </x:c>
      <x:c r="H425" s="17" t="n">
        <x:f>G425*F425</x:f>
        <x:v>329.4</x:v>
      </x:c>
      <x:c r="I425" s="22" t="str">
        <x:f>HYPERLINK("https://etp-aktiv.ru/catalog/materialy/truboprovody/M2000636027-U121/","Открыть позицию")</x:f>
        <x:v>Открыть позицию</x:v>
      </x:c>
    </x:row>
    <x:row r="426" ht="28" customHeight="1">
      <x:c r="A426" s="16" t="str">
        <x:v>Кемеровская теплосетевая компания</x:v>
      </x:c>
      <x:c r="B426" s="16" t="str">
        <x:v>M2000335279-U121</x:v>
      </x:c>
      <x:c r="C426" s="16" t="str">
        <x:v>ОТВОД 90° СТ20 133*4 ГОСТ17375-01</x:v>
      </x:c>
      <x:c r="D426" s="16" t="str">
        <x:v>Детали фасонные</x:v>
      </x:c>
      <x:c r="E426" s="16" t="str">
        <x:v>ШТ</x:v>
      </x:c>
      <x:c r="F426" s="21" t="n">
        <x:v>5</x:v>
      </x:c>
      <x:c r="G426" s="17" t="n">
        <x:v>787.2782</x:v>
      </x:c>
      <x:c r="H426" s="17" t="n">
        <x:f>G426*F426</x:f>
        <x:v>3936.3909999999996</x:v>
      </x:c>
      <x:c r="I426" s="22" t="str">
        <x:f>HYPERLINK("https://etp-aktiv.ru/catalog/materialy/truboprovody/M2000335279-U121/","Открыть позицию")</x:f>
        <x:v>Открыть позицию</x:v>
      </x:c>
    </x:row>
    <x:row r="427" ht="28" customHeight="1">
      <x:c r="A427" s="16" t="str">
        <x:v>Кемеровская теплосетевая компания</x:v>
      </x:c>
      <x:c r="B427" s="16" t="str">
        <x:v>2000760018-U121</x:v>
      </x:c>
      <x:c r="C427" s="16" t="str">
        <x:v>ОТВОД 90° СТ20 26,9*3,2 ГОСТ17375-01</x:v>
      </x:c>
      <x:c r="D427" s="16" t="str">
        <x:v>Детали фасонные</x:v>
      </x:c>
      <x:c r="E427" s="16" t="str">
        <x:v>ШТ</x:v>
      </x:c>
      <x:c r="F427" s="21" t="n">
        <x:v>1</x:v>
      </x:c>
      <x:c r="G427" s="17" t="n">
        <x:v>269.925</x:v>
      </x:c>
      <x:c r="H427" s="17" t="n">
        <x:f>G427*F427</x:f>
        <x:v>269.925</x:v>
      </x:c>
      <x:c r="I427" s="22" t="str">
        <x:f>HYPERLINK("https://etp-aktiv.ru/catalog/materialy/truboprovody/2000760018-U121/","Открыть позицию")</x:f>
        <x:v>Открыть позицию</x:v>
      </x:c>
    </x:row>
    <x:row r="428" ht="28" customHeight="1">
      <x:c r="A428" s="16" t="str">
        <x:v>Кемеровская теплосетевая компания</x:v>
      </x:c>
      <x:c r="B428" s="16" t="str">
        <x:v>2000829429-U121</x:v>
      </x:c>
      <x:c r="C428" s="16" t="str">
        <x:v>ОТВОД 90° СТ20 2D DN219*7 ГОСТ30753</x:v>
      </x:c>
      <x:c r="D428" s="16" t="str">
        <x:v>Детали фасонные</x:v>
      </x:c>
      <x:c r="E428" s="16" t="str">
        <x:v>ШТ</x:v>
      </x:c>
      <x:c r="F428" s="21" t="n">
        <x:v>4</x:v>
      </x:c>
      <x:c r="G428" s="17" t="n">
        <x:v>5027.925</x:v>
      </x:c>
      <x:c r="H428" s="17" t="n">
        <x:f>G428*F428</x:f>
        <x:v>20111.7</x:v>
      </x:c>
      <x:c r="I428" s="22" t="str">
        <x:f>HYPERLINK("https://etp-aktiv.ru/catalog/materialy/truboprovody/2000829429-U121/","Открыть позицию")</x:f>
        <x:v>Открыть позицию</x:v>
      </x:c>
    </x:row>
    <x:row r="429" ht="28" customHeight="1">
      <x:c r="A429" s="16" t="str">
        <x:v>Кемеровская теплосетевая компания</x:v>
      </x:c>
      <x:c r="B429" s="16" t="str">
        <x:v>2000140250-U121</x:v>
      </x:c>
      <x:c r="C429" s="16" t="str">
        <x:v>ОТВОД 90° СТ20 57*3,5 ГОСТ17375-01</x:v>
      </x:c>
      <x:c r="D429" s="16" t="str">
        <x:v>Детали фасонные</x:v>
      </x:c>
      <x:c r="E429" s="16" t="str">
        <x:v>ШТ</x:v>
      </x:c>
      <x:c r="F429" s="21" t="n">
        <x:v>11</x:v>
      </x:c>
      <x:c r="G429" s="17" t="n">
        <x:v>147.9616</x:v>
      </x:c>
      <x:c r="H429" s="17" t="n">
        <x:f>G429*F429</x:f>
        <x:v>1627.5776</x:v>
      </x:c>
      <x:c r="I429" s="22" t="str">
        <x:f>HYPERLINK("https://etp-aktiv.ru/catalog/materialy/truboprovody/2000140250-U121/","Открыть позицию")</x:f>
        <x:v>Открыть позицию</x:v>
      </x:c>
    </x:row>
    <x:row r="430" ht="28" customHeight="1">
      <x:c r="A430" s="16" t="str">
        <x:v>Кемеровская теплосетевая компания</x:v>
      </x:c>
      <x:c r="B430" s="16" t="str">
        <x:v>2000336509-U121</x:v>
      </x:c>
      <x:c r="C430" s="16" t="str">
        <x:v>ОТВОД 90° СТ20 DN108 5 ГОСТ17375-01</x:v>
      </x:c>
      <x:c r="D430" s="16" t="str">
        <x:v>Детали фасонные</x:v>
      </x:c>
      <x:c r="E430" s="16" t="str">
        <x:v>ШТ</x:v>
      </x:c>
      <x:c r="F430" s="21" t="n">
        <x:v>4</x:v>
      </x:c>
      <x:c r="G430" s="17" t="n">
        <x:v>550.0004</x:v>
      </x:c>
      <x:c r="H430" s="17" t="n">
        <x:f>G430*F430</x:f>
        <x:v>2200.0016</x:v>
      </x:c>
      <x:c r="I430" s="22" t="str">
        <x:f>HYPERLINK("https://etp-aktiv.ru/catalog/materialy/truboprovody/2000336509-U121/","Открыть позицию")</x:f>
        <x:v>Открыть позицию</x:v>
      </x:c>
    </x:row>
    <x:row r="431" ht="28" customHeight="1">
      <x:c r="A431" s="16" t="str">
        <x:v>Кемеровская теплосетевая компания</x:v>
      </x:c>
      <x:c r="B431" s="16" t="str">
        <x:v>M2000148453-U121</x:v>
      </x:c>
      <x:c r="C431" s="16" t="str">
        <x:v>ОТВОД 90° СТ20 DN133 4,5 ГОСТ17375-01</x:v>
      </x:c>
      <x:c r="D431" s="16" t="str">
        <x:v>Детали фасонные</x:v>
      </x:c>
      <x:c r="E431" s="16" t="str">
        <x:v>ШТ</x:v>
      </x:c>
      <x:c r="F431" s="21" t="n">
        <x:v>15</x:v>
      </x:c>
      <x:c r="G431" s="17" t="n">
        <x:v>732</x:v>
      </x:c>
      <x:c r="H431" s="17" t="n">
        <x:f>G431*F431</x:f>
        <x:v>10980</x:v>
      </x:c>
      <x:c r="I431" s="22" t="str">
        <x:f>HYPERLINK("https://etp-aktiv.ru/catalog/materialy/truboprovody/M2000148453-U121/","Открыть позицию")</x:f>
        <x:v>Открыть позицию</x:v>
      </x:c>
    </x:row>
    <x:row r="432" ht="28" customHeight="1">
      <x:c r="A432" s="16" t="str">
        <x:v>Кемеровская теплосетевая компания</x:v>
      </x:c>
      <x:c r="B432" s="16" t="str">
        <x:v>2000554407-U121</x:v>
      </x:c>
      <x:c r="C432" s="16" t="str">
        <x:v>ОТВОД 90° СТ20 DN133*6 ГОСТ17375-01</x:v>
      </x:c>
      <x:c r="D432" s="16" t="str">
        <x:v>Детали фасонные</x:v>
      </x:c>
      <x:c r="E432" s="16" t="str">
        <x:v>ШТ</x:v>
      </x:c>
      <x:c r="F432" s="21" t="n">
        <x:v>2</x:v>
      </x:c>
      <x:c r="G432" s="17" t="n">
        <x:v>942.5842</x:v>
      </x:c>
      <x:c r="H432" s="17" t="n">
        <x:f>G432*F432</x:f>
        <x:v>1885.1684</x:v>
      </x:c>
      <x:c r="I432" s="22" t="str">
        <x:f>HYPERLINK("https://etp-aktiv.ru/catalog/materialy/truboprovody/2000554407-U121/","Открыть позицию")</x:f>
        <x:v>Открыть позицию</x:v>
      </x:c>
    </x:row>
    <x:row r="433" ht="28" customHeight="1">
      <x:c r="A433" s="16" t="str">
        <x:v>Кемеровская теплосетевая компания</x:v>
      </x:c>
      <x:c r="B433" s="16" t="str">
        <x:v>2000257530-U121</x:v>
      </x:c>
      <x:c r="C433" s="16" t="str">
        <x:v>ОТВОД 90° СТ20 DN21,3 2 ГОСТ17375-01</x:v>
      </x:c>
      <x:c r="D433" s="16" t="str">
        <x:v>Детали фасонные</x:v>
      </x:c>
      <x:c r="E433" s="16" t="str">
        <x:v>ШТ</x:v>
      </x:c>
      <x:c r="F433" s="21" t="n">
        <x:v>44</x:v>
      </x:c>
      <x:c r="G433" s="17" t="n">
        <x:v>21.96</x:v>
      </x:c>
      <x:c r="H433" s="17" t="n">
        <x:f>G433*F433</x:f>
        <x:v>966.24</x:v>
      </x:c>
      <x:c r="I433" s="22" t="str">
        <x:f>HYPERLINK("https://etp-aktiv.ru/catalog/materialy/truboprovody/2000257530-U121/","Открыть позицию")</x:f>
        <x:v>Открыть позицию</x:v>
      </x:c>
    </x:row>
    <x:row r="434" ht="28" customHeight="1">
      <x:c r="A434" s="16" t="str">
        <x:v>Кемеровская теплосетевая компания</x:v>
      </x:c>
      <x:c r="B434" s="16" t="str">
        <x:v>2000440034-U121</x:v>
      </x:c>
      <x:c r="C434" s="16" t="str">
        <x:v>ОТВОД 90° СТ20 DN32 3 ГОСТ17375-01</x:v>
      </x:c>
      <x:c r="D434" s="16" t="str">
        <x:v>Детали фасонные</x:v>
      </x:c>
      <x:c r="E434" s="16" t="str">
        <x:v>ШТ</x:v>
      </x:c>
      <x:c r="F434" s="21" t="n">
        <x:v>9</x:v>
      </x:c>
      <x:c r="G434" s="17" t="n">
        <x:v>86.925</x:v>
      </x:c>
      <x:c r="H434" s="17" t="n">
        <x:f>G434*F434</x:f>
        <x:v>782.3249999999999</x:v>
      </x:c>
      <x:c r="I434" s="22" t="str">
        <x:f>HYPERLINK("https://etp-aktiv.ru/catalog/materialy/truboprovody/2000440034-U121/","Открыть позицию")</x:f>
        <x:v>Открыть позицию</x:v>
      </x:c>
    </x:row>
    <x:row r="435" ht="28" customHeight="1">
      <x:c r="A435" s="16" t="str">
        <x:v>Кемеровская теплосетевая компания</x:v>
      </x:c>
      <x:c r="B435" s="16" t="str">
        <x:v>2000319895-U121</x:v>
      </x:c>
      <x:c r="C435" s="16" t="str">
        <x:v>ОТВОД 90° СТ20 DN33,7 3,2 ГОСТ17375-01</x:v>
      </x:c>
      <x:c r="D435" s="16" t="str">
        <x:v>Детали фасонные</x:v>
      </x:c>
      <x:c r="E435" s="16" t="str">
        <x:v>ШТ</x:v>
      </x:c>
      <x:c r="F435" s="21" t="n">
        <x:v>2</x:v>
      </x:c>
      <x:c r="G435" s="17" t="n">
        <x:v>39.345</x:v>
      </x:c>
      <x:c r="H435" s="17" t="n">
        <x:f>G435*F435</x:f>
        <x:v>78.69</x:v>
      </x:c>
      <x:c r="I435" s="22" t="str">
        <x:f>HYPERLINK("https://etp-aktiv.ru/catalog/materialy/truboprovody/2000319895-U121/","Открыть позицию")</x:f>
        <x:v>Открыть позицию</x:v>
      </x:c>
    </x:row>
    <x:row r="436" ht="28" customHeight="1">
      <x:c r="A436" s="16" t="str">
        <x:v>Кемеровская теплосетевая компания</x:v>
      </x:c>
      <x:c r="B436" s="16" t="str">
        <x:v>2000263953-U121</x:v>
      </x:c>
      <x:c r="C436" s="16" t="str">
        <x:v>ОТВОД 90° СТ20 DN377 8 ГОСТ17375-01</x:v>
      </x:c>
      <x:c r="D436" s="16" t="str">
        <x:v>Детали фасонные</x:v>
      </x:c>
      <x:c r="E436" s="16" t="str">
        <x:v>ШТ</x:v>
      </x:c>
      <x:c r="F436" s="21" t="n">
        <x:v>4</x:v>
      </x:c>
      <x:c r="G436" s="17" t="n">
        <x:v>12804.998</x:v>
      </x:c>
      <x:c r="H436" s="17" t="n">
        <x:f>G436*F436</x:f>
        <x:v>51219.992</x:v>
      </x:c>
      <x:c r="I436" s="22" t="str">
        <x:f>HYPERLINK("https://etp-aktiv.ru/catalog/materialy/truboprovody/2000263953-U121/","Открыть позицию")</x:f>
        <x:v>Открыть позицию</x:v>
      </x:c>
    </x:row>
    <x:row r="437" ht="28" customHeight="1">
      <x:c r="A437" s="16" t="str">
        <x:v>Кемеровская теплосетевая компания</x:v>
      </x:c>
      <x:c r="B437" s="16" t="str">
        <x:v>2000249291-U121</x:v>
      </x:c>
      <x:c r="C437" s="16" t="str">
        <x:v>ОТВОД 90° СТ20 DN377 9 ГОСТ17375-01</x:v>
      </x:c>
      <x:c r="D437" s="16" t="str">
        <x:v>Детали фасонные</x:v>
      </x:c>
      <x:c r="E437" s="16" t="str">
        <x:v>ШТ</x:v>
      </x:c>
      <x:c r="F437" s="21" t="n">
        <x:v>2</x:v>
      </x:c>
      <x:c r="G437" s="17" t="n">
        <x:v>12804.998</x:v>
      </x:c>
      <x:c r="H437" s="17" t="n">
        <x:f>G437*F437</x:f>
        <x:v>25609.996</x:v>
      </x:c>
      <x:c r="I437" s="22" t="str">
        <x:f>HYPERLINK("https://etp-aktiv.ru/catalog/materialy/truboprovody/2000249291-U121/","Открыть позицию")</x:f>
        <x:v>Открыть позицию</x:v>
      </x:c>
    </x:row>
    <x:row r="438" ht="28" customHeight="1">
      <x:c r="A438" s="16" t="str">
        <x:v>Кемеровская теплосетевая компания</x:v>
      </x:c>
      <x:c r="B438" s="16" t="str">
        <x:v>2000290005-U121</x:v>
      </x:c>
      <x:c r="C438" s="16" t="str">
        <x:v>ОТВОД 90° СТ20 DN426 8 ГОСТ17375-01</x:v>
      </x:c>
      <x:c r="D438" s="16" t="str">
        <x:v>Детали фасонные</x:v>
      </x:c>
      <x:c r="E438" s="16" t="str">
        <x:v>ШТ</x:v>
      </x:c>
      <x:c r="F438" s="21" t="n">
        <x:v>3</x:v>
      </x:c>
      <x:c r="G438" s="17" t="n">
        <x:v>15250</x:v>
      </x:c>
      <x:c r="H438" s="17" t="n">
        <x:f>G438*F438</x:f>
        <x:v>45750</x:v>
      </x:c>
      <x:c r="I438" s="22" t="str">
        <x:f>HYPERLINK("https://etp-aktiv.ru/catalog/materialy/truboprovody/2000290005-U121/","Открыть позицию")</x:f>
        <x:v>Открыть позицию</x:v>
      </x:c>
    </x:row>
    <x:row r="439" ht="28" customHeight="1">
      <x:c r="A439" s="16" t="str">
        <x:v>Кемеровская теплосетевая компания</x:v>
      </x:c>
      <x:c r="B439" s="16" t="str">
        <x:v>2000554468-U121</x:v>
      </x:c>
      <x:c r="C439" s="16" t="str">
        <x:v>ОТВОД 90° СТ20 DN426*9 ГОСТ17375-01</x:v>
      </x:c>
      <x:c r="D439" s="16" t="str">
        <x:v>Детали фасонные</x:v>
      </x:c>
      <x:c r="E439" s="16" t="str">
        <x:v>ШТ</x:v>
      </x:c>
      <x:c r="F439" s="21" t="n">
        <x:v>3</x:v>
      </x:c>
      <x:c r="G439" s="17" t="n">
        <x:v>13972.733199999999</x:v>
      </x:c>
      <x:c r="H439" s="17" t="n">
        <x:f>G439*F439</x:f>
        <x:v>41918.19959999999</x:v>
      </x:c>
      <x:c r="I439" s="22" t="str">
        <x:f>HYPERLINK("https://etp-aktiv.ru/catalog/materialy/truboprovody/2000554468-U121/","Открыть позицию")</x:f>
        <x:v>Открыть позицию</x:v>
      </x:c>
    </x:row>
    <x:row r="440" ht="28" customHeight="1">
      <x:c r="A440" s="16" t="str">
        <x:v>Кемеровская теплосетевая компания</x:v>
      </x:c>
      <x:c r="B440" s="16" t="str">
        <x:v>2000259088-U121</x:v>
      </x:c>
      <x:c r="C440" s="16" t="str">
        <x:v>ОТВОД 90° СТ20 DN45 2,5 ГОСТ17375-01</x:v>
      </x:c>
      <x:c r="D440" s="16" t="str">
        <x:v>Детали фасонные</x:v>
      </x:c>
      <x:c r="E440" s="16" t="str">
        <x:v>ШТ</x:v>
      </x:c>
      <x:c r="F440" s="21" t="n">
        <x:v>39</x:v>
      </x:c>
      <x:c r="G440" s="17" t="n">
        <x:v>46.1404</x:v>
      </x:c>
      <x:c r="H440" s="17" t="n">
        <x:f>G440*F440</x:f>
        <x:v>1799.4756</x:v>
      </x:c>
      <x:c r="I440" s="22" t="str">
        <x:f>HYPERLINK("https://etp-aktiv.ru/catalog/materialy/truboprovody/2000259088-U121/","Открыть позицию")</x:f>
        <x:v>Открыть позицию</x:v>
      </x:c>
    </x:row>
    <x:row r="441" ht="28" customHeight="1">
      <x:c r="A441" s="16" t="str">
        <x:v>Кемеровская теплосетевая компания</x:v>
      </x:c>
      <x:c r="B441" s="16" t="str">
        <x:v>M2000259088-U121</x:v>
      </x:c>
      <x:c r="C441" s="16" t="str">
        <x:v>ОТВОД 90° СТ20 DN45 2,5 ГОСТ17375-01</x:v>
      </x:c>
      <x:c r="D441" s="16" t="str">
        <x:v>Детали фасонные</x:v>
      </x:c>
      <x:c r="E441" s="16" t="str">
        <x:v>ШТ</x:v>
      </x:c>
      <x:c r="F441" s="21" t="n">
        <x:v>1</x:v>
      </x:c>
      <x:c r="G441" s="17" t="n">
        <x:v>46.1404</x:v>
      </x:c>
      <x:c r="H441" s="17" t="n">
        <x:f>G441*F441</x:f>
        <x:v>46.1404</x:v>
      </x:c>
      <x:c r="I441" s="22" t="str">
        <x:f>HYPERLINK("https://etp-aktiv.ru/catalog/materialy/truboprovody/M2000259088-U121/","Открыть позицию")</x:f>
        <x:v>Открыть позицию</x:v>
      </x:c>
    </x:row>
    <x:row r="442" ht="28" customHeight="1">
      <x:c r="A442" s="16" t="str">
        <x:v>Кемеровская теплосетевая компания</x:v>
      </x:c>
      <x:c r="B442" s="16" t="str">
        <x:v>2000167744-U121</x:v>
      </x:c>
      <x:c r="C442" s="16" t="str">
        <x:v>ОТВОД 90° СТ20 DN57 3 ГОСТ17375-01</x:v>
      </x:c>
      <x:c r="D442" s="16" t="str">
        <x:v>Детали фасонные</x:v>
      </x:c>
      <x:c r="E442" s="16" t="str">
        <x:v>ШТ</x:v>
      </x:c>
      <x:c r="F442" s="21" t="n">
        <x:v>1</x:v>
      </x:c>
      <x:c r="G442" s="17" t="n">
        <x:v>182.39</x:v>
      </x:c>
      <x:c r="H442" s="17" t="n">
        <x:f>G442*F442</x:f>
        <x:v>182.39</x:v>
      </x:c>
      <x:c r="I442" s="22" t="str">
        <x:f>HYPERLINK("https://etp-aktiv.ru/catalog/materialy/truboprovody/2000167744-U121/","Открыть позицию")</x:f>
        <x:v>Открыть позицию</x:v>
      </x:c>
    </x:row>
    <x:row r="443" ht="28" customHeight="1">
      <x:c r="A443" s="16" t="str">
        <x:v>Кемеровская теплосетевая компания</x:v>
      </x:c>
      <x:c r="B443" s="16" t="str">
        <x:v>M2000003236-U121</x:v>
      </x:c>
      <x:c r="C443" s="16" t="str">
        <x:v>ОТВОД 90° СТ20 DN76 3,5 ГОСТ17375-01</x:v>
      </x:c>
      <x:c r="D443" s="16" t="str">
        <x:v>Детали фасонные</x:v>
      </x:c>
      <x:c r="E443" s="16" t="str">
        <x:v>ШТ</x:v>
      </x:c>
      <x:c r="F443" s="21" t="n">
        <x:v>10</x:v>
      </x:c>
      <x:c r="G443" s="17" t="n">
        <x:v>233.325</x:v>
      </x:c>
      <x:c r="H443" s="17" t="n">
        <x:f>G443*F443</x:f>
        <x:v>2333.25</x:v>
      </x:c>
      <x:c r="I443" s="22" t="str">
        <x:f>HYPERLINK("https://etp-aktiv.ru/catalog/materialy/truboprovody/M2000003236-U121/","Открыть позицию")</x:f>
        <x:v>Открыть позицию</x:v>
      </x:c>
    </x:row>
    <x:row r="444" ht="28" customHeight="1">
      <x:c r="A444" s="16" t="str">
        <x:v>Кемеровская теплосетевая компания</x:v>
      </x:c>
      <x:c r="B444" s="16" t="str">
        <x:v>2000140262-U121</x:v>
      </x:c>
      <x:c r="C444" s="16" t="str">
        <x:v>ОТВОД 90° СТ20 DN76 4 ГОСТ17375-01</x:v>
      </x:c>
      <x:c r="D444" s="16" t="str">
        <x:v>Детали фасонные</x:v>
      </x:c>
      <x:c r="E444" s="16" t="str">
        <x:v>ШТ</x:v>
      </x:c>
      <x:c r="F444" s="21" t="n">
        <x:v>1</x:v>
      </x:c>
      <x:c r="G444" s="17" t="n">
        <x:v>237.1192</x:v>
      </x:c>
      <x:c r="H444" s="17" t="n">
        <x:f>G444*F444</x:f>
        <x:v>237.1192</x:v>
      </x:c>
      <x:c r="I444" s="22" t="str">
        <x:f>HYPERLINK("https://etp-aktiv.ru/catalog/materialy/truboprovody/2000140262-U121/","Открыть позицию")</x:f>
        <x:v>Открыть позицию</x:v>
      </x:c>
    </x:row>
    <x:row r="445" ht="28" customHeight="1">
      <x:c r="A445" s="16" t="str">
        <x:v>Кемеровская теплосетевая компания</x:v>
      </x:c>
      <x:c r="B445" s="16" t="str">
        <x:v>2000554453-U121</x:v>
      </x:c>
      <x:c r="C445" s="16" t="str">
        <x:v>ОТВОД 90° СТ3 DN377*10 ГОСТ17375-01</x:v>
      </x:c>
      <x:c r="D445" s="16" t="str">
        <x:v>Детали фасонные</x:v>
      </x:c>
      <x:c r="E445" s="16" t="str">
        <x:v>ШТ</x:v>
      </x:c>
      <x:c r="F445" s="21" t="n">
        <x:v>1</x:v>
      </x:c>
      <x:c r="G445" s="17" t="n">
        <x:v>8295.8536</x:v>
      </x:c>
      <x:c r="H445" s="17" t="n">
        <x:f>G445*F445</x:f>
        <x:v>8295.8536</x:v>
      </x:c>
      <x:c r="I445" s="22" t="str">
        <x:f>HYPERLINK("https://etp-aktiv.ru/catalog/materialy/truboprovody/2000554453-U121/","Открыть позицию")</x:f>
        <x:v>Открыть позицию</x:v>
      </x:c>
    </x:row>
    <x:row r="446" ht="28" customHeight="1">
      <x:c r="A446" s="16" t="str">
        <x:v>Кемеровская теплосетевая компания</x:v>
      </x:c>
      <x:c r="B446" s="16" t="str">
        <x:v>2000554605-U121</x:v>
      </x:c>
      <x:c r="C446" s="16" t="str">
        <x:v>ОТВОД П 30° СТ20 DN273*8 ГОСТ17375-01</x:v>
      </x:c>
      <x:c r="D446" s="16" t="str">
        <x:v>Детали фасонные</x:v>
      </x:c>
      <x:c r="E446" s="16" t="str">
        <x:v>ШТ</x:v>
      </x:c>
      <x:c r="F446" s="21" t="n">
        <x:v>2</x:v>
      </x:c>
      <x:c r="G446" s="17" t="n">
        <x:v>6400.425</x:v>
      </x:c>
      <x:c r="H446" s="17" t="n">
        <x:f>G446*F446</x:f>
        <x:v>12800.85</x:v>
      </x:c>
      <x:c r="I446" s="22" t="str">
        <x:f>HYPERLINK("https://etp-aktiv.ru/catalog/materialy/truboprovody/2000554605-U121/","Открыть позицию")</x:f>
        <x:v>Открыть позицию</x:v>
      </x:c>
    </x:row>
    <x:row r="447" ht="28" customHeight="1">
      <x:c r="A447" s="16" t="str">
        <x:v>Кемеровская теплосетевая компания</x:v>
      </x:c>
      <x:c r="B447" s="16" t="str">
        <x:v>2000876129-U121</x:v>
      </x:c>
      <x:c r="C447" s="16" t="str">
        <x:v>ОТВОД П 90° 09Г2С 159*5 ГОСТ17375-2001</x:v>
      </x:c>
      <x:c r="D447" s="16" t="str">
        <x:v>Детали фасонные</x:v>
      </x:c>
      <x:c r="E447" s="16" t="str">
        <x:v>ШТ</x:v>
      </x:c>
      <x:c r="F447" s="21" t="n">
        <x:v>1</x:v>
      </x:c>
      <x:c r="G447" s="17" t="n">
        <x:v>1441.125</x:v>
      </x:c>
      <x:c r="H447" s="17" t="n">
        <x:f>G447*F447</x:f>
        <x:v>1441.125</x:v>
      </x:c>
      <x:c r="I447" s="22" t="str">
        <x:f>HYPERLINK("https://etp-aktiv.ru/catalog/materialy/truboprovody/2000876129-U121/","Открыть позицию")</x:f>
        <x:v>Открыть позицию</x:v>
      </x:c>
    </x:row>
    <x:row r="448" ht="28" customHeight="1">
      <x:c r="A448" s="16" t="str">
        <x:v>Кемеровская теплосетевая компания</x:v>
      </x:c>
      <x:c r="B448" s="16" t="str">
        <x:v>2000986323-U121</x:v>
      </x:c>
      <x:c r="C448" s="16" t="str">
        <x:v>ОТВОД П 90° 09Г2С 219*8 ГОСТ17375-2001</x:v>
      </x:c>
      <x:c r="D448" s="16" t="str">
        <x:v>Детали фасонные</x:v>
      </x:c>
      <x:c r="E448" s="16" t="str">
        <x:v>ШТ</x:v>
      </x:c>
      <x:c r="F448" s="21" t="n">
        <x:v>6</x:v>
      </x:c>
      <x:c r="G448" s="17" t="n">
        <x:v>5795</x:v>
      </x:c>
      <x:c r="H448" s="17" t="n">
        <x:f>G448*F448</x:f>
        <x:v>34770</x:v>
      </x:c>
      <x:c r="I448" s="22" t="str">
        <x:f>HYPERLINK("https://etp-aktiv.ru/catalog/materialy/truboprovody/2000986323-U121/","Открыть позицию")</x:f>
        <x:v>Открыть позицию</x:v>
      </x:c>
    </x:row>
    <x:row r="449" ht="28" customHeight="1">
      <x:c r="A449" s="16" t="str">
        <x:v>Кемеровская теплосетевая компания</x:v>
      </x:c>
      <x:c r="B449" s="16" t="str">
        <x:v>2000554612-U121</x:v>
      </x:c>
      <x:c r="C449" s="16" t="str">
        <x:v>ОТВОД П 90° 09Г2С DN219*6 ГОСТ17375-01</x:v>
      </x:c>
      <x:c r="D449" s="16" t="str">
        <x:v>Детали фасонные</x:v>
      </x:c>
      <x:c r="E449" s="16" t="str">
        <x:v>ШТ</x:v>
      </x:c>
      <x:c r="F449" s="21" t="n">
        <x:v>2</x:v>
      </x:c>
      <x:c r="G449" s="17" t="n">
        <x:v>1166.625</x:v>
      </x:c>
      <x:c r="H449" s="17" t="n">
        <x:f>G449*F449</x:f>
        <x:v>2333.25</x:v>
      </x:c>
      <x:c r="I449" s="22" t="str">
        <x:f>HYPERLINK("https://etp-aktiv.ru/catalog/materialy/truboprovody/2000554612-U121/","Открыть позицию")</x:f>
        <x:v>Открыть позицию</x:v>
      </x:c>
    </x:row>
    <x:row r="450" ht="28" customHeight="1">
      <x:c r="A450" s="16" t="str">
        <x:v>Кемеровская теплосетевая компания</x:v>
      </x:c>
      <x:c r="B450" s="16" t="str">
        <x:v>M2000554612-U121</x:v>
      </x:c>
      <x:c r="C450" s="16" t="str">
        <x:v>ОТВОД П 90° 09Г2С DN219*6 ГОСТ17375-01</x:v>
      </x:c>
      <x:c r="D450" s="16" t="str">
        <x:v>Детали фасонные</x:v>
      </x:c>
      <x:c r="E450" s="16" t="str">
        <x:v>ШТ</x:v>
      </x:c>
      <x:c r="F450" s="21" t="n">
        <x:v>2</x:v>
      </x:c>
      <x:c r="G450" s="17" t="n">
        <x:v>3725.0016</x:v>
      </x:c>
      <x:c r="H450" s="17" t="n">
        <x:f>G450*F450</x:f>
        <x:v>7450.0032</x:v>
      </x:c>
      <x:c r="I450" s="22" t="str">
        <x:f>HYPERLINK("https://etp-aktiv.ru/catalog/materialy/truboprovody/M2000554612-U121/","Открыть позицию")</x:f>
        <x:v>Открыть позицию</x:v>
      </x:c>
    </x:row>
    <x:row r="451" ht="28" customHeight="1">
      <x:c r="A451" s="16" t="str">
        <x:v>Кемеровская теплосетевая компания</x:v>
      </x:c>
      <x:c r="B451" s="16" t="str">
        <x:v>2000554628-U121</x:v>
      </x:c>
      <x:c r="C451" s="16" t="str">
        <x:v>ОТВОД П 90° 09Г2С DN219*7 ГОСТ17375-01</x:v>
      </x:c>
      <x:c r="D451" s="16" t="str">
        <x:v>Детали фасонные</x:v>
      </x:c>
      <x:c r="E451" s="16" t="str">
        <x:v>ШТ</x:v>
      </x:c>
      <x:c r="F451" s="21" t="n">
        <x:v>1</x:v>
      </x:c>
      <x:c r="G451" s="17" t="n">
        <x:v>658.6414</x:v>
      </x:c>
      <x:c r="H451" s="17" t="n">
        <x:f>G451*F451</x:f>
        <x:v>658.6414</x:v>
      </x:c>
      <x:c r="I451" s="22" t="str">
        <x:f>HYPERLINK("https://etp-aktiv.ru/catalog/materialy/truboprovody/2000554628-U121/","Открыть позицию")</x:f>
        <x:v>Открыть позицию</x:v>
      </x:c>
    </x:row>
    <x:row r="452" ht="28" customHeight="1">
      <x:c r="A452" s="16" t="str">
        <x:v>Кемеровская теплосетевая компания</x:v>
      </x:c>
      <x:c r="B452" s="16" t="str">
        <x:v>2000568197-U121</x:v>
      </x:c>
      <x:c r="C452" s="16" t="str">
        <x:v>ОТВОД П 90° СТ20 133*6 ГОСТ17375-01</x:v>
      </x:c>
      <x:c r="D452" s="16" t="str">
        <x:v>Детали фасонные</x:v>
      </x:c>
      <x:c r="E452" s="16" t="str">
        <x:v>ШТ</x:v>
      </x:c>
      <x:c r="F452" s="21" t="n">
        <x:v>4</x:v>
      </x:c>
      <x:c r="G452" s="17" t="n">
        <x:v>1047.6018000000001</x:v>
      </x:c>
      <x:c r="H452" s="17" t="n">
        <x:f>G452*F452</x:f>
        <x:v>4190.407200000001</x:v>
      </x:c>
      <x:c r="I452" s="22" t="str">
        <x:f>HYPERLINK("https://etp-aktiv.ru/catalog/materialy/truboprovody/2000568197-U121/","Открыть позицию")</x:f>
        <x:v>Открыть позицию</x:v>
      </x:c>
    </x:row>
    <x:row r="453" ht="28" customHeight="1">
      <x:c r="A453" s="16" t="str">
        <x:v>Кемеровская теплосетевая компания</x:v>
      </x:c>
      <x:c r="B453" s="16" t="str">
        <x:v>M2000554574-U121</x:v>
      </x:c>
      <x:c r="C453" s="16" t="str">
        <x:v>ОТВОД П 90° СТ20 DN133*4,5 ГОСТ17375-01</x:v>
      </x:c>
      <x:c r="D453" s="16" t="str">
        <x:v>Детали фасонные</x:v>
      </x:c>
      <x:c r="E453" s="16" t="str">
        <x:v>ШТ</x:v>
      </x:c>
      <x:c r="F453" s="21" t="n">
        <x:v>18</x:v>
      </x:c>
      <x:c r="G453" s="17" t="n">
        <x:v>732</x:v>
      </x:c>
      <x:c r="H453" s="17" t="n">
        <x:f>G453*F453</x:f>
        <x:v>13176</x:v>
      </x:c>
      <x:c r="I453" s="22" t="str">
        <x:f>HYPERLINK("https://etp-aktiv.ru/catalog/materialy/truboprovody/M2000554574-U121/","Открыть позицию")</x:f>
        <x:v>Открыть позицию</x:v>
      </x:c>
    </x:row>
    <x:row r="454" ht="28" customHeight="1">
      <x:c r="A454" s="16" t="str">
        <x:v>Кемеровская теплосетевая компания</x:v>
      </x:c>
      <x:c r="B454" s="16" t="str">
        <x:v>2000554647-U121</x:v>
      </x:c>
      <x:c r="C454" s="16" t="str">
        <x:v>ОТВОД П 90° СТ20 DN76*3,5 ГОСТ17375-01</x:v>
      </x:c>
      <x:c r="D454" s="16" t="str">
        <x:v>Детали фасонные</x:v>
      </x:c>
      <x:c r="E454" s="16" t="str">
        <x:v>ШТ</x:v>
      </x:c>
      <x:c r="F454" s="21" t="n">
        <x:v>15</x:v>
      </x:c>
      <x:c r="G454" s="17" t="n">
        <x:v>236.53359999999998</x:v>
      </x:c>
      <x:c r="H454" s="17" t="n">
        <x:f>G454*F454</x:f>
        <x:v>3548.004</x:v>
      </x:c>
      <x:c r="I454" s="22" t="str">
        <x:f>HYPERLINK("https://etp-aktiv.ru/catalog/materialy/truboprovody/2000554647-U121/","Открыть позицию")</x:f>
        <x:v>Открыть позицию</x:v>
      </x:c>
    </x:row>
    <x:row r="455" ht="28" customHeight="1">
      <x:c r="A455" s="16" t="str">
        <x:v>Кемеровская теплосетевая компания</x:v>
      </x:c>
      <x:c r="B455" s="16" t="str">
        <x:v>2000568217-U121</x:v>
      </x:c>
      <x:c r="C455" s="16" t="str">
        <x:v>ОТВОД П90° 17Г1С 630*10 ТС-583.000-260</x:v>
      </x:c>
      <x:c r="D455" s="16" t="str">
        <x:v>Детали фасонные</x:v>
      </x:c>
      <x:c r="E455" s="16" t="str">
        <x:v>ШТ</x:v>
      </x:c>
      <x:c r="F455" s="21" t="n">
        <x:v>15</x:v>
      </x:c>
      <x:c r="G455" s="17" t="n">
        <x:v>23988.8356</x:v>
      </x:c>
      <x:c r="H455" s="17" t="n">
        <x:f>G455*F455</x:f>
        <x:v>359832.534</x:v>
      </x:c>
      <x:c r="I455" s="22" t="str">
        <x:f>HYPERLINK("https://etp-aktiv.ru/catalog/materialy/truboprovody/2000568217-U121/","Открыть позицию")</x:f>
        <x:v>Открыть позицию</x:v>
      </x:c>
    </x:row>
    <x:row r="456" ht="28" customHeight="1">
      <x:c r="A456" s="16" t="str">
        <x:v>Кемеровская теплосетевая компания</x:v>
      </x:c>
      <x:c r="B456" s="16" t="str">
        <x:v>2000559577-U121</x:v>
      </x:c>
      <x:c r="C456" s="16" t="str">
        <x:v>ОТВОД СТ20 108*4 90° 1-ППУ-ПЭ ГОСТ30732</x:v>
      </x:c>
      <x:c r="D456" s="16" t="str">
        <x:v>Трубы и элементы трубопроводов теплоизолиров и футерованных</x:v>
      </x:c>
      <x:c r="E456" s="16" t="str">
        <x:v>ШТ</x:v>
      </x:c>
      <x:c r="F456" s="21" t="n">
        <x:v>11</x:v>
      </x:c>
      <x:c r="G456" s="17" t="n">
        <x:v>6574.824</x:v>
      </x:c>
      <x:c r="H456" s="17" t="n">
        <x:f>G456*F456</x:f>
        <x:v>72323.064</x:v>
      </x:c>
      <x:c r="I456" s="22" t="str">
        <x:f>HYPERLINK("https://etp-aktiv.ru/catalog/materialy/truboprovody/2000559577-U121/","Открыть позицию")</x:f>
        <x:v>Открыть позицию</x:v>
      </x:c>
    </x:row>
    <x:row r="457" ht="28" customHeight="1">
      <x:c r="A457" s="16" t="str">
        <x:v>Кемеровская теплосетевая компания</x:v>
      </x:c>
      <x:c r="B457" s="16" t="str">
        <x:v>2001014080-U121</x:v>
      </x:c>
      <x:c r="C457" s="16" t="str">
        <x:v>ОТВОД СТ20 133*4 90° 1-ППУ-ПЭ ГОСТ30732</x:v>
      </x:c>
      <x:c r="D457" s="16" t="str">
        <x:v>Трубы и элементы трубопроводов теплоизолиров и футерованных</x:v>
      </x:c>
      <x:c r="E457" s="16" t="str">
        <x:v>ШТ</x:v>
      </x:c>
      <x:c r="F457" s="21" t="n">
        <x:v>14</x:v>
      </x:c>
      <x:c r="G457" s="17" t="n">
        <x:v>7936.099999999999</x:v>
      </x:c>
      <x:c r="H457" s="17" t="n">
        <x:f>G457*F457</x:f>
        <x:v>111105.4</x:v>
      </x:c>
      <x:c r="I457" s="22" t="str">
        <x:f>HYPERLINK("https://etp-aktiv.ru/catalog/materialy/truboprovody/2001014080-U121/","Открыть позицию")</x:f>
        <x:v>Открыть позицию</x:v>
      </x:c>
    </x:row>
    <x:row r="458" ht="28" customHeight="1">
      <x:c r="A458" s="16" t="str">
        <x:v>Кемеровская теплосетевая компания</x:v>
      </x:c>
      <x:c r="B458" s="16" t="str">
        <x:v>2000747205-U121</x:v>
      </x:c>
      <x:c r="C458" s="16" t="str">
        <x:v>ОТВОД СТ20 57*3 90 1 ППУ ПЭ ГОСТ30732-06</x:v>
      </x:c>
      <x:c r="D458" s="16" t="str">
        <x:v>Трубы и элементы трубопроводов теплоизолиров и футерованных</x:v>
      </x:c>
      <x:c r="E458" s="16" t="str">
        <x:v>ШТ</x:v>
      </x:c>
      <x:c r="F458" s="21" t="n">
        <x:v>5</x:v>
      </x:c>
      <x:c r="G458" s="17" t="n">
        <x:v>5442.261399999999</x:v>
      </x:c>
      <x:c r="H458" s="17" t="n">
        <x:f>G458*F458</x:f>
        <x:v>27211.306999999997</x:v>
      </x:c>
      <x:c r="I458" s="22" t="str">
        <x:f>HYPERLINK("https://etp-aktiv.ru/catalog/materialy/truboprovody/2000747205-U121/","Открыть позицию")</x:f>
        <x:v>Открыть позицию</x:v>
      </x:c>
    </x:row>
    <x:row r="459" ht="28" customHeight="1">
      <x:c r="A459" s="16" t="str">
        <x:v>Кемеровская теплосетевая компания</x:v>
      </x:c>
      <x:c r="B459" s="16" t="str">
        <x:v>2000917261-U121</x:v>
      </x:c>
      <x:c r="C459" s="16" t="str">
        <x:v>ОТВОД СТ20 76*4 90° 1-ППУ-ПЭ ГОСТ30732</x:v>
      </x:c>
      <x:c r="D459" s="16" t="str">
        <x:v>Трубы и элементы трубопроводов теплоизолиров и футерованных</x:v>
      </x:c>
      <x:c r="E459" s="16" t="str">
        <x:v>ШТ</x:v>
      </x:c>
      <x:c r="F459" s="21" t="n">
        <x:v>20</x:v>
      </x:c>
      <x:c r="G459" s="17" t="n">
        <x:v>5191.2342</x:v>
      </x:c>
      <x:c r="H459" s="17" t="n">
        <x:f>G459*F459</x:f>
        <x:v>103824.684</x:v>
      </x:c>
      <x:c r="I459" s="22" t="str">
        <x:f>HYPERLINK("https://etp-aktiv.ru/catalog/materialy/truboprovody/2000917261-U121/","Открыть позицию")</x:f>
        <x:v>Открыть позицию</x:v>
      </x:c>
    </x:row>
    <x:row r="460" ht="28" customHeight="1">
      <x:c r="A460" s="16" t="str">
        <x:v>Кемеровская теплосетевая компания</x:v>
      </x:c>
      <x:c r="B460" s="16" t="str">
        <x:v>2000917260-U121</x:v>
      </x:c>
      <x:c r="C460" s="16" t="str">
        <x:v>ОТВОД СТ20 89*4 90° 1-ППУ-ПЭ ГОСТ30732</x:v>
      </x:c>
      <x:c r="D460" s="16" t="str">
        <x:v>Трубы и элементы трубопроводов теплоизолиров и футерованных</x:v>
      </x:c>
      <x:c r="E460" s="16" t="str">
        <x:v>ШТ</x:v>
      </x:c>
      <x:c r="F460" s="21" t="n">
        <x:v>10</x:v>
      </x:c>
      <x:c r="G460" s="17" t="n">
        <x:v>5609.791799999999</x:v>
      </x:c>
      <x:c r="H460" s="17" t="n">
        <x:f>G460*F460</x:f>
        <x:v>56097.91799999999</x:v>
      </x:c>
      <x:c r="I460" s="22" t="str">
        <x:f>HYPERLINK("https://etp-aktiv.ru/catalog/materialy/truboprovody/2000917260-U121/","Открыть позицию")</x:f>
        <x:v>Открыть позицию</x:v>
      </x:c>
    </x:row>
    <x:row r="461" ht="28" customHeight="1">
      <x:c r="A461" s="16" t="str">
        <x:v>Кемеровская теплосетевая компания</x:v>
      </x:c>
      <x:c r="B461" s="16" t="str">
        <x:v>2000554901-U121</x:v>
      </x:c>
      <x:c r="C461" s="16" t="str">
        <x:v>ПЕРЕХОД К 09Г2С 133*4-89*3,5 ГОСТ17378</x:v>
      </x:c>
      <x:c r="D461" s="16" t="str">
        <x:v>Детали фасонные</x:v>
      </x:c>
      <x:c r="E461" s="16" t="str">
        <x:v>ШТ</x:v>
      </x:c>
      <x:c r="F461" s="21" t="n">
        <x:v>7</x:v>
      </x:c>
      <x:c r="G461" s="17" t="n">
        <x:v>382.2138</x:v>
      </x:c>
      <x:c r="H461" s="17" t="n">
        <x:f>G461*F461</x:f>
        <x:v>2675.4966</x:v>
      </x:c>
      <x:c r="I461" s="22" t="str">
        <x:f>HYPERLINK("https://etp-aktiv.ru/catalog/materialy/truboprovody/2000554901-U121/","Открыть позицию")</x:f>
        <x:v>Открыть позицию</x:v>
      </x:c>
    </x:row>
    <x:row r="462" ht="28" customHeight="1">
      <x:c r="A462" s="16" t="str">
        <x:v>Кемеровская теплосетевая компания</x:v>
      </x:c>
      <x:c r="B462" s="16" t="str">
        <x:v>2000259595-U121</x:v>
      </x:c>
      <x:c r="C462" s="16" t="str">
        <x:v>ПЕРЕХОД К 09Г2С 57*5 32 3 ГОСТ17378-01</x:v>
      </x:c>
      <x:c r="D462" s="16" t="str">
        <x:v>Детали фасонные</x:v>
      </x:c>
      <x:c r="E462" s="16" t="str">
        <x:v>ШТ</x:v>
      </x:c>
      <x:c r="F462" s="21" t="n">
        <x:v>1</x:v>
      </x:c>
      <x:c r="G462" s="17" t="n">
        <x:v>178.42499999999998</x:v>
      </x:c>
      <x:c r="H462" s="17" t="n">
        <x:f>G462*F462</x:f>
        <x:v>178.42499999999998</x:v>
      </x:c>
      <x:c r="I462" s="22" t="str">
        <x:f>HYPERLINK("https://etp-aktiv.ru/catalog/materialy/truboprovody/2000259595-U121/","Открыть позицию")</x:f>
        <x:v>Открыть позицию</x:v>
      </x:c>
    </x:row>
    <x:row r="463" ht="28" customHeight="1">
      <x:c r="A463" s="16" t="str">
        <x:v>Кемеровская теплосетевая компания</x:v>
      </x:c>
      <x:c r="B463" s="16" t="str">
        <x:v>2000570988-U121</x:v>
      </x:c>
      <x:c r="C463" s="16" t="str">
        <x:v>ПЕРЕХОД К 45*2,5-25*3 СТ20 ГОСТ17378</x:v>
      </x:c>
      <x:c r="D463" s="16" t="str">
        <x:v>Детали фасонные</x:v>
      </x:c>
      <x:c r="E463" s="16" t="str">
        <x:v>ШТ</x:v>
      </x:c>
      <x:c r="F463" s="21" t="n">
        <x:v>2</x:v>
      </x:c>
      <x:c r="G463" s="17" t="n">
        <x:v>86.925</x:v>
      </x:c>
      <x:c r="H463" s="17" t="n">
        <x:f>G463*F463</x:f>
        <x:v>173.85</x:v>
      </x:c>
      <x:c r="I463" s="22" t="str">
        <x:f>HYPERLINK("https://etp-aktiv.ru/catalog/materialy/truboprovody/2000570988-U121/","Открыть позицию")</x:f>
        <x:v>Открыть позицию</x:v>
      </x:c>
    </x:row>
    <x:row r="464" ht="28" customHeight="1">
      <x:c r="A464" s="16" t="str">
        <x:v>Кемеровская теплосетевая компания</x:v>
      </x:c>
      <x:c r="B464" s="16" t="str">
        <x:v>2000584252-U121</x:v>
      </x:c>
      <x:c r="C464" s="16" t="str">
        <x:v>ПЕРЕХОД К 57*3-38*3 СТ20 ГОСТ17378</x:v>
      </x:c>
      <x:c r="D464" s="16" t="str">
        <x:v>Детали фасонные</x:v>
      </x:c>
      <x:c r="E464" s="16" t="str">
        <x:v>ШТ</x:v>
      </x:c>
      <x:c r="F464" s="21" t="n">
        <x:v>6</x:v>
      </x:c>
      <x:c r="G464" s="17" t="n">
        <x:v>86.925</x:v>
      </x:c>
      <x:c r="H464" s="17" t="n">
        <x:f>G464*F464</x:f>
        <x:v>521.55</x:v>
      </x:c>
      <x:c r="I464" s="22" t="str">
        <x:f>HYPERLINK("https://etp-aktiv.ru/catalog/materialy/truboprovody/2000584252-U121/","Открыть позицию")</x:f>
        <x:v>Открыть позицию</x:v>
      </x:c>
    </x:row>
    <x:row r="465" ht="28" customHeight="1">
      <x:c r="A465" s="16" t="str">
        <x:v>Кемеровская теплосетевая компания</x:v>
      </x:c>
      <x:c r="B465" s="16" t="str">
        <x:v>2000148659-U121</x:v>
      </x:c>
      <x:c r="C465" s="16" t="str">
        <x:v>ПЕРЕХОД К СТ20 108*4 57 3 ГОСТ17378-01</x:v>
      </x:c>
      <x:c r="D465" s="16" t="str">
        <x:v>Детали фасонные</x:v>
      </x:c>
      <x:c r="E465" s="16" t="str">
        <x:v>ШТ</x:v>
      </x:c>
      <x:c r="F465" s="21" t="n">
        <x:v>9</x:v>
      </x:c>
      <x:c r="G465" s="17" t="n">
        <x:v>247.56239999999997</x:v>
      </x:c>
      <x:c r="H465" s="17" t="n">
        <x:f>G465*F465</x:f>
        <x:v>2228.0615999999995</x:v>
      </x:c>
      <x:c r="I465" s="22" t="str">
        <x:f>HYPERLINK("https://etp-aktiv.ru/catalog/materialy/truboprovody/2000148659-U121/","Открыть позицию")</x:f>
        <x:v>Открыть позицию</x:v>
      </x:c>
    </x:row>
    <x:row r="466" ht="28" customHeight="1">
      <x:c r="A466" s="16" t="str">
        <x:v>Кемеровская теплосетевая компания</x:v>
      </x:c>
      <x:c r="B466" s="16" t="str">
        <x:v>2000253714-U121</x:v>
      </x:c>
      <x:c r="C466" s="16" t="str">
        <x:v>ПЕРЕХОД К СТ20 108*6 57 5 ГОСТ17378-01</x:v>
      </x:c>
      <x:c r="D466" s="16" t="str">
        <x:v>Детали фасонные</x:v>
      </x:c>
      <x:c r="E466" s="16" t="str">
        <x:v>ШТ</x:v>
      </x:c>
      <x:c r="F466" s="21" t="n">
        <x:v>1</x:v>
      </x:c>
      <x:c r="G466" s="17" t="n">
        <x:v>19.642000000000003</x:v>
      </x:c>
      <x:c r="H466" s="17" t="n">
        <x:f>G466*F466</x:f>
        <x:v>19.642000000000003</x:v>
      </x:c>
      <x:c r="I466" s="22" t="str">
        <x:f>HYPERLINK("https://etp-aktiv.ru/catalog/materialy/truboprovody/2000253714-U121/","Открыть позицию")</x:f>
        <x:v>Открыть позицию</x:v>
      </x:c>
    </x:row>
    <x:row r="467" ht="28" customHeight="1">
      <x:c r="A467" s="16" t="str">
        <x:v>Кемеровская теплосетевая компания</x:v>
      </x:c>
      <x:c r="B467" s="16" t="str">
        <x:v>2000554886-U121</x:v>
      </x:c>
      <x:c r="C467" s="16" t="str">
        <x:v>ПЕРЕХОД К СТ20 108*6-57*4 ГОСТ17378-01</x:v>
      </x:c>
      <x:c r="D467" s="16" t="str">
        <x:v>Детали фасонные</x:v>
      </x:c>
      <x:c r="E467" s="16" t="str">
        <x:v>ШТ</x:v>
      </x:c>
      <x:c r="F467" s="21" t="n">
        <x:v>3</x:v>
      </x:c>
      <x:c r="G467" s="17" t="n">
        <x:v>16.836000000000002</x:v>
      </x:c>
      <x:c r="H467" s="17" t="n">
        <x:f>G467*F467</x:f>
        <x:v>50.50800000000001</x:v>
      </x:c>
      <x:c r="I467" s="22" t="str">
        <x:f>HYPERLINK("https://etp-aktiv.ru/catalog/materialy/truboprovody/2000554886-U121/","Открыть позицию")</x:f>
        <x:v>Открыть позицию</x:v>
      </x:c>
    </x:row>
    <x:row r="468" ht="28" customHeight="1">
      <x:c r="A468" s="16" t="str">
        <x:v>Кемеровская теплосетевая компания</x:v>
      </x:c>
      <x:c r="B468" s="16" t="str">
        <x:v>2000335283-U121</x:v>
      </x:c>
      <x:c r="C468" s="16" t="str">
        <x:v>ПЕРЕХОД К СТ20 133*4 57 3 ГОСТ17375-01</x:v>
      </x:c>
      <x:c r="D468" s="16" t="str">
        <x:v>Детали фасонные</x:v>
      </x:c>
      <x:c r="E468" s="16" t="str">
        <x:v>ШТ</x:v>
      </x:c>
      <x:c r="F468" s="21" t="n">
        <x:v>1</x:v>
      </x:c>
      <x:c r="G468" s="17" t="n">
        <x:v>635.925</x:v>
      </x:c>
      <x:c r="H468" s="17" t="n">
        <x:f>G468*F468</x:f>
        <x:v>635.925</x:v>
      </x:c>
      <x:c r="I468" s="22" t="str">
        <x:f>HYPERLINK("https://etp-aktiv.ru/catalog/materialy/truboprovody/2000335283-U121/","Открыть позицию")</x:f>
        <x:v>Открыть позицию</x:v>
      </x:c>
    </x:row>
    <x:row r="469" ht="28" customHeight="1">
      <x:c r="A469" s="16" t="str">
        <x:v>Кемеровская теплосетевая компания</x:v>
      </x:c>
      <x:c r="B469" s="16" t="str">
        <x:v>2000758238-U121</x:v>
      </x:c>
      <x:c r="C469" s="16" t="str">
        <x:v>ПЕРЕХОД К СТ20 133*4-89*4 ГОСТ17378-2001</x:v>
      </x:c>
      <x:c r="D469" s="16" t="str">
        <x:v>Детали фасонные</x:v>
      </x:c>
      <x:c r="E469" s="16" t="str">
        <x:v>ШТ</x:v>
      </x:c>
      <x:c r="F469" s="21" t="n">
        <x:v>1</x:v>
      </x:c>
      <x:c r="G469" s="17" t="n">
        <x:v>526.125</x:v>
      </x:c>
      <x:c r="H469" s="17" t="n">
        <x:f>G469*F469</x:f>
        <x:v>526.125</x:v>
      </x:c>
      <x:c r="I469" s="22" t="str">
        <x:f>HYPERLINK("https://etp-aktiv.ru/catalog/materialy/truboprovody/2000758238-U121/","Открыть позицию")</x:f>
        <x:v>Открыть позицию</x:v>
      </x:c>
    </x:row>
    <x:row r="470" ht="28" customHeight="1">
      <x:c r="A470" s="16" t="str">
        <x:v>Кемеровская теплосетевая компания</x:v>
      </x:c>
      <x:c r="B470" s="16" t="str">
        <x:v>2000554903-U121</x:v>
      </x:c>
      <x:c r="C470" s="16" t="str">
        <x:v>ПЕРЕХОД К СТ20 133*5-108*4 ГОСТ17378-01</x:v>
      </x:c>
      <x:c r="D470" s="16" t="str">
        <x:v>Детали фасонные</x:v>
      </x:c>
      <x:c r="E470" s="16" t="str">
        <x:v>ШТ</x:v>
      </x:c>
      <x:c r="F470" s="21" t="n">
        <x:v>2</x:v>
      </x:c>
      <x:c r="G470" s="17" t="n">
        <x:v>526.125</x:v>
      </x:c>
      <x:c r="H470" s="17" t="n">
        <x:f>G470*F470</x:f>
        <x:v>1052.25</x:v>
      </x:c>
      <x:c r="I470" s="22" t="str">
        <x:f>HYPERLINK("https://etp-aktiv.ru/catalog/materialy/truboprovody/2000554903-U121/","Открыть позицию")</x:f>
        <x:v>Открыть позицию</x:v>
      </x:c>
    </x:row>
    <x:row r="471" ht="28" customHeight="1">
      <x:c r="A471" s="16" t="str">
        <x:v>Кемеровская теплосетевая компания</x:v>
      </x:c>
      <x:c r="B471" s="16" t="str">
        <x:v>2000319856-U121</x:v>
      </x:c>
      <x:c r="C471" s="16" t="str">
        <x:v>ПЕРЕХОД К СТ20 159*4,5 89 3,5 ГОСТ17378</x:v>
      </x:c>
      <x:c r="D471" s="16" t="str">
        <x:v>Детали фасонные</x:v>
      </x:c>
      <x:c r="E471" s="16" t="str">
        <x:v>ШТ</x:v>
      </x:c>
      <x:c r="F471" s="21" t="n">
        <x:v>2</x:v>
      </x:c>
      <x:c r="G471" s="17" t="n">
        <x:v>731.085</x:v>
      </x:c>
      <x:c r="H471" s="17" t="n">
        <x:f>G471*F471</x:f>
        <x:v>1462.17</x:v>
      </x:c>
      <x:c r="I471" s="22" t="str">
        <x:f>HYPERLINK("https://etp-aktiv.ru/catalog/materialy/truboprovody/2000319856-U121/","Открыть позицию")</x:f>
        <x:v>Открыть позицию</x:v>
      </x:c>
    </x:row>
    <x:row r="472" ht="28" customHeight="1">
      <x:c r="A472" s="16" t="str">
        <x:v>Кемеровская теплосетевая компания</x:v>
      </x:c>
      <x:c r="B472" s="16" t="str">
        <x:v>2000554913-U121</x:v>
      </x:c>
      <x:c r="C472" s="16" t="str">
        <x:v>ПЕРЕХОД К СТ20 159*4,5-76*3,5 ГОСТ17378</x:v>
      </x:c>
      <x:c r="D472" s="16" t="str">
        <x:v>Детали фасонные</x:v>
      </x:c>
      <x:c r="E472" s="16" t="str">
        <x:v>ШТ</x:v>
      </x:c>
      <x:c r="F472" s="21" t="n">
        <x:v>6</x:v>
      </x:c>
      <x:c r="G472" s="17" t="n">
        <x:v>478.0936</x:v>
      </x:c>
      <x:c r="H472" s="17" t="n">
        <x:f>G472*F472</x:f>
        <x:v>2868.5616</x:v>
      </x:c>
      <x:c r="I472" s="22" t="str">
        <x:f>HYPERLINK("https://etp-aktiv.ru/catalog/materialy/truboprovody/2000554913-U121/","Открыть позицию")</x:f>
        <x:v>Открыть позицию</x:v>
      </x:c>
    </x:row>
    <x:row r="473" ht="28" customHeight="1">
      <x:c r="A473" s="16" t="str">
        <x:v>Кемеровская теплосетевая компания</x:v>
      </x:c>
      <x:c r="B473" s="16" t="str">
        <x:v>2000798318-U121</x:v>
      </x:c>
      <x:c r="C473" s="16" t="str">
        <x:v>ПЕРЕХОД К СТ20 159*6-108*6 ГОСТ17378</x:v>
      </x:c>
      <x:c r="D473" s="16" t="str">
        <x:v>Детали фасонные</x:v>
      </x:c>
      <x:c r="E473" s="16" t="str">
        <x:v>ШТ</x:v>
      </x:c>
      <x:c r="F473" s="21" t="n">
        <x:v>1</x:v>
      </x:c>
      <x:c r="G473" s="17" t="n">
        <x:v>1012.3559999999999</x:v>
      </x:c>
      <x:c r="H473" s="17" t="n">
        <x:f>G473*F473</x:f>
        <x:v>1012.3559999999999</x:v>
      </x:c>
      <x:c r="I473" s="22" t="str">
        <x:f>HYPERLINK("https://etp-aktiv.ru/catalog/materialy/truboprovody/2000798318-U121/","Открыть позицию")</x:f>
        <x:v>Открыть позицию</x:v>
      </x:c>
    </x:row>
    <x:row r="474" ht="28" customHeight="1">
      <x:c r="A474" s="16" t="str">
        <x:v>Кемеровская теплосетевая компания</x:v>
      </x:c>
      <x:c r="B474" s="16" t="str">
        <x:v>2000256895-U121</x:v>
      </x:c>
      <x:c r="C474" s="16" t="str">
        <x:v>ПЕРЕХОД К СТ20 219*6 76 3,2 ГОСТ17378-01</x:v>
      </x:c>
      <x:c r="D474" s="16" t="str">
        <x:v>Детали фасонные</x:v>
      </x:c>
      <x:c r="E474" s="16" t="str">
        <x:v>ШТ</x:v>
      </x:c>
      <x:c r="F474" s="21" t="n">
        <x:v>8</x:v>
      </x:c>
      <x:c r="G474" s="17" t="n">
        <x:v>1184.925</x:v>
      </x:c>
      <x:c r="H474" s="17" t="n">
        <x:f>G474*F474</x:f>
        <x:v>9479.4</x:v>
      </x:c>
      <x:c r="I474" s="22" t="str">
        <x:f>HYPERLINK("https://etp-aktiv.ru/catalog/materialy/truboprovody/2000256895-U121/","Открыть позицию")</x:f>
        <x:v>Открыть позицию</x:v>
      </x:c>
    </x:row>
    <x:row r="475" ht="28" customHeight="1">
      <x:c r="A475" s="16" t="str">
        <x:v>Кемеровская теплосетевая компания</x:v>
      </x:c>
      <x:c r="B475" s="16" t="str">
        <x:v>2000632518-U121</x:v>
      </x:c>
      <x:c r="C475" s="16" t="str">
        <x:v>ПЕРЕХОД К СТ20 219*6-108*6 ГОСТ17378-83</x:v>
      </x:c>
      <x:c r="D475" s="16" t="str">
        <x:v>Детали фасонные</x:v>
      </x:c>
      <x:c r="E475" s="16" t="str">
        <x:v>ШТ</x:v>
      </x:c>
      <x:c r="F475" s="21" t="n">
        <x:v>3</x:v>
      </x:c>
      <x:c r="G475" s="17" t="n">
        <x:v>2145.1259999999997</x:v>
      </x:c>
      <x:c r="H475" s="17" t="n">
        <x:f>G475*F475</x:f>
        <x:v>6435.377999999999</x:v>
      </x:c>
      <x:c r="I475" s="22" t="str">
        <x:f>HYPERLINK("https://etp-aktiv.ru/catalog/materialy/truboprovody/2000632518-U121/","Открыть позицию")</x:f>
        <x:v>Открыть позицию</x:v>
      </x:c>
    </x:row>
    <x:row r="476" ht="28" customHeight="1">
      <x:c r="A476" s="16" t="str">
        <x:v>Кемеровская теплосетевая компания</x:v>
      </x:c>
      <x:c r="B476" s="16" t="str">
        <x:v>2000554937-U121</x:v>
      </x:c>
      <x:c r="C476" s="16" t="str">
        <x:v>ПЕРЕХОД К СТ20 219*6-89*3,5 ГОСТ17378-01</x:v>
      </x:c>
      <x:c r="D476" s="16" t="str">
        <x:v>Детали фасонные</x:v>
      </x:c>
      <x:c r="E476" s="16" t="str">
        <x:v>ШТ</x:v>
      </x:c>
      <x:c r="F476" s="21" t="n">
        <x:v>4</x:v>
      </x:c>
      <x:c r="G476" s="17" t="n">
        <x:v>1305.705</x:v>
      </x:c>
      <x:c r="H476" s="17" t="n">
        <x:f>G476*F476</x:f>
        <x:v>5222.82</x:v>
      </x:c>
      <x:c r="I476" s="22" t="str">
        <x:f>HYPERLINK("https://etp-aktiv.ru/catalog/materialy/truboprovody/2000554937-U121/","Открыть позицию")</x:f>
        <x:v>Открыть позицию</x:v>
      </x:c>
    </x:row>
    <x:row r="477" ht="28" customHeight="1">
      <x:c r="A477" s="16" t="str">
        <x:v>Кемеровская теплосетевая компания</x:v>
      </x:c>
      <x:c r="B477" s="16" t="str">
        <x:v>2000500250-U121</x:v>
      </x:c>
      <x:c r="C477" s="16" t="str">
        <x:v>ПЕРЕХОД К СТ20 40*3 50 ГОСТ17378-2001</x:v>
      </x:c>
      <x:c r="D477" s="16" t="str">
        <x:v>Детали фасонные</x:v>
      </x:c>
      <x:c r="E477" s="16" t="str">
        <x:v>ШТ</x:v>
      </x:c>
      <x:c r="F477" s="21" t="n">
        <x:v>2</x:v>
      </x:c>
      <x:c r="G477" s="17" t="n">
        <x:v>178.42499999999998</x:v>
      </x:c>
      <x:c r="H477" s="17" t="n">
        <x:f>G477*F477</x:f>
        <x:v>356.84999999999997</x:v>
      </x:c>
      <x:c r="I477" s="22" t="str">
        <x:f>HYPERLINK("https://etp-aktiv.ru/catalog/materialy/truboprovody/2000500250-U121/","Открыть позицию")</x:f>
        <x:v>Открыть позицию</x:v>
      </x:c>
    </x:row>
    <x:row r="478" ht="28" customHeight="1">
      <x:c r="A478" s="16" t="str">
        <x:v>Кемеровская теплосетевая компания</x:v>
      </x:c>
      <x:c r="B478" s="16" t="str">
        <x:v>2000500253-U121</x:v>
      </x:c>
      <x:c r="C478" s="16" t="str">
        <x:v>ПЕРЕХОД К СТ20 50*3 65 ГОСТ17378-2001</x:v>
      </x:c>
      <x:c r="D478" s="16" t="str">
        <x:v>Детали фасонные</x:v>
      </x:c>
      <x:c r="E478" s="16" t="str">
        <x:v>ШТ</x:v>
      </x:c>
      <x:c r="F478" s="21" t="n">
        <x:v>2</x:v>
      </x:c>
      <x:c r="G478" s="17" t="n">
        <x:v>196.42</x:v>
      </x:c>
      <x:c r="H478" s="17" t="n">
        <x:f>G478*F478</x:f>
        <x:v>392.84</x:v>
      </x:c>
      <x:c r="I478" s="22" t="str">
        <x:f>HYPERLINK("https://etp-aktiv.ru/catalog/materialy/truboprovody/2000500253-U121/","Открыть позицию")</x:f>
        <x:v>Открыть позицию</x:v>
      </x:c>
    </x:row>
    <x:row r="479" ht="28" customHeight="1">
      <x:c r="A479" s="16" t="str">
        <x:v>Кемеровская теплосетевая компания</x:v>
      </x:c>
      <x:c r="B479" s="16" t="str">
        <x:v>2000555004-U121</x:v>
      </x:c>
      <x:c r="C479" s="16" t="str">
        <x:v>ПЕРЕХОД К СТ20 57*3-25*1,6 ГОСТ17378-01</x:v>
      </x:c>
      <x:c r="D479" s="16" t="str">
        <x:v>Детали фасонные</x:v>
      </x:c>
      <x:c r="E479" s="16" t="str">
        <x:v>ШТ</x:v>
      </x:c>
      <x:c r="F479" s="21" t="n">
        <x:v>3</x:v>
      </x:c>
      <x:c r="G479" s="17" t="n">
        <x:v>39.345</x:v>
      </x:c>
      <x:c r="H479" s="17" t="n">
        <x:f>G479*F479</x:f>
        <x:v>118.035</x:v>
      </x:c>
      <x:c r="I479" s="22" t="str">
        <x:f>HYPERLINK("https://etp-aktiv.ru/catalog/materialy/truboprovody/2000555004-U121/","Открыть позицию")</x:f>
        <x:v>Открыть позицию</x:v>
      </x:c>
    </x:row>
    <x:row r="480" ht="28" customHeight="1">
      <x:c r="A480" s="16" t="str">
        <x:v>Кемеровская теплосетевая компания</x:v>
      </x:c>
      <x:c r="B480" s="16" t="str">
        <x:v>2000760027-U121</x:v>
      </x:c>
      <x:c r="C480" s="16" t="str">
        <x:v>ПЕРЕХОД К СТ20 57*3-25*2 ГОСТ17378-01</x:v>
      </x:c>
      <x:c r="D480" s="16" t="str">
        <x:v>Детали фасонные</x:v>
      </x:c>
      <x:c r="E480" s="16" t="str">
        <x:v>ШТ</x:v>
      </x:c>
      <x:c r="F480" s="21" t="n">
        <x:v>6</x:v>
      </x:c>
      <x:c r="G480" s="17" t="n">
        <x:v>178.42499999999998</x:v>
      </x:c>
      <x:c r="H480" s="17" t="n">
        <x:f>G480*F480</x:f>
        <x:v>1070.55</x:v>
      </x:c>
      <x:c r="I480" s="22" t="str">
        <x:f>HYPERLINK("https://etp-aktiv.ru/catalog/materialy/truboprovody/2000760027-U121/","Открыть позицию")</x:f>
        <x:v>Открыть позицию</x:v>
      </x:c>
    </x:row>
    <x:row r="481" ht="28" customHeight="1">
      <x:c r="A481" s="16" t="str">
        <x:v>Кемеровская теплосетевая компания</x:v>
      </x:c>
      <x:c r="B481" s="16" t="str">
        <x:v>2000263257-U121</x:v>
      </x:c>
      <x:c r="C481" s="16" t="str">
        <x:v>ПЕРЕХОД К СТ20 76*3,5 38 2,5 ГОСТ17378-0</x:v>
      </x:c>
      <x:c r="D481" s="16" t="str">
        <x:v>Детали фасонные</x:v>
      </x:c>
      <x:c r="E481" s="16" t="str">
        <x:v>ШТ</x:v>
      </x:c>
      <x:c r="F481" s="21" t="n">
        <x:v>10</x:v>
      </x:c>
      <x:c r="G481" s="17" t="n">
        <x:v>190.0028</x:v>
      </x:c>
      <x:c r="H481" s="17" t="n">
        <x:f>G481*F481</x:f>
        <x:v>1900.028</x:v>
      </x:c>
      <x:c r="I481" s="22" t="str">
        <x:f>HYPERLINK("https://etp-aktiv.ru/catalog/materialy/truboprovody/2000263257-U121/","Открыть позицию")</x:f>
        <x:v>Открыть позицию</x:v>
      </x:c>
    </x:row>
    <x:row r="482" ht="28" customHeight="1">
      <x:c r="A482" s="16" t="str">
        <x:v>Кемеровская теплосетевая компания</x:v>
      </x:c>
      <x:c r="B482" s="16" t="str">
        <x:v>2000319834-U121</x:v>
      </x:c>
      <x:c r="C482" s="16" t="str">
        <x:v>ПЕРЕХОД К СТ20 76*3,5 45 2,5 ГОСТ17378</x:v>
      </x:c>
      <x:c r="D482" s="16" t="str">
        <x:v>Детали фасонные</x:v>
      </x:c>
      <x:c r="E482" s="16" t="str">
        <x:v>ШТ</x:v>
      </x:c>
      <x:c r="F482" s="21" t="n">
        <x:v>6</x:v>
      </x:c>
      <x:c r="G482" s="17" t="n">
        <x:v>182.39</x:v>
      </x:c>
      <x:c r="H482" s="17" t="n">
        <x:f>G482*F482</x:f>
        <x:v>1094.34</x:v>
      </x:c>
      <x:c r="I482" s="22" t="str">
        <x:f>HYPERLINK("https://etp-aktiv.ru/catalog/materialy/truboprovody/2000319834-U121/","Открыть позицию")</x:f>
        <x:v>Открыть позицию</x:v>
      </x:c>
    </x:row>
    <x:row r="483" ht="28" customHeight="1">
      <x:c r="A483" s="16" t="str">
        <x:v>Кемеровская теплосетевая компания</x:v>
      </x:c>
      <x:c r="B483" s="16" t="str">
        <x:v>2000182870-U121</x:v>
      </x:c>
      <x:c r="C483" s="16" t="str">
        <x:v>ПЕРЕХОД К СТ20 76*3,5 57 3 ОСТ34.10.700</x:v>
      </x:c>
      <x:c r="D483" s="16" t="str">
        <x:v>Детали фасонные</x:v>
      </x:c>
      <x:c r="E483" s="16" t="str">
        <x:v>ШТ</x:v>
      </x:c>
      <x:c r="F483" s="21" t="n">
        <x:v>2</x:v>
      </x:c>
      <x:c r="G483" s="17" t="n">
        <x:v>635.925</x:v>
      </x:c>
      <x:c r="H483" s="17" t="n">
        <x:f>G483*F483</x:f>
        <x:v>1271.85</x:v>
      </x:c>
      <x:c r="I483" s="22" t="str">
        <x:f>HYPERLINK("https://etp-aktiv.ru/catalog/materialy/truboprovody/2000182870-U121/","Открыть позицию")</x:f>
        <x:v>Открыть позицию</x:v>
      </x:c>
    </x:row>
    <x:row r="484" ht="28" customHeight="1">
      <x:c r="A484" s="16" t="str">
        <x:v>Кемеровская теплосетевая компания</x:v>
      </x:c>
      <x:c r="B484" s="16" t="str">
        <x:v>2000234418-U121</x:v>
      </x:c>
      <x:c r="C484" s="16" t="str">
        <x:v>ПЕРЕХОД К СТ20 89*3,5 45 2,5 ГОСТ17378-0</x:v>
      </x:c>
      <x:c r="D484" s="16" t="str">
        <x:v>Детали фасонные</x:v>
      </x:c>
      <x:c r="E484" s="16" t="str">
        <x:v>ШТ</x:v>
      </x:c>
      <x:c r="F484" s="21" t="n">
        <x:v>2</x:v>
      </x:c>
      <x:c r="G484" s="17" t="n">
        <x:v>233.325</x:v>
      </x:c>
      <x:c r="H484" s="17" t="n">
        <x:f>G484*F484</x:f>
        <x:v>466.65</x:v>
      </x:c>
      <x:c r="I484" s="22" t="str">
        <x:f>HYPERLINK("https://etp-aktiv.ru/catalog/materialy/truboprovody/2000234418-U121/","Открыть позицию")</x:f>
        <x:v>Открыть позицию</x:v>
      </x:c>
    </x:row>
    <x:row r="485" ht="28" customHeight="1">
      <x:c r="A485" s="16" t="str">
        <x:v>Кемеровская теплосетевая компания</x:v>
      </x:c>
      <x:c r="B485" s="16" t="str">
        <x:v>2000555040-U121</x:v>
      </x:c>
      <x:c r="C485" s="16" t="str">
        <x:v>ПЕРЕХОД К СТ20 89*3,5-57*3 ГОСТ17378-01</x:v>
      </x:c>
      <x:c r="D485" s="16" t="str">
        <x:v>Детали фасонные</x:v>
      </x:c>
      <x:c r="E485" s="16" t="str">
        <x:v>ШТ</x:v>
      </x:c>
      <x:c r="F485" s="21" t="n">
        <x:v>1</x:v>
      </x:c>
      <x:c r="G485" s="17" t="n">
        <x:v>178.42499999999998</x:v>
      </x:c>
      <x:c r="H485" s="17" t="n">
        <x:f>G485*F485</x:f>
        <x:v>178.42499999999998</x:v>
      </x:c>
      <x:c r="I485" s="22" t="str">
        <x:f>HYPERLINK("https://etp-aktiv.ru/catalog/materialy/truboprovody/2000555040-U121/","Открыть позицию")</x:f>
        <x:v>Открыть позицию</x:v>
      </x:c>
    </x:row>
    <x:row r="486" ht="28" customHeight="1">
      <x:c r="A486" s="16" t="str">
        <x:v>Кемеровская теплосетевая компания</x:v>
      </x:c>
      <x:c r="B486" s="16" t="str">
        <x:v>2000335380-U121</x:v>
      </x:c>
      <x:c r="C486" s="16" t="str">
        <x:v>ПЕРЕХОД К-2 СТ20 57*3-25*1,6 ГОСТ17378</x:v>
      </x:c>
      <x:c r="D486" s="16" t="str">
        <x:v>Детали фасонные</x:v>
      </x:c>
      <x:c r="E486" s="16" t="str">
        <x:v>ШТ</x:v>
      </x:c>
      <x:c r="F486" s="21" t="n">
        <x:v>1</x:v>
      </x:c>
      <x:c r="G486" s="17" t="n">
        <x:v>86.925</x:v>
      </x:c>
      <x:c r="H486" s="17" t="n">
        <x:f>G486*F486</x:f>
        <x:v>86.925</x:v>
      </x:c>
      <x:c r="I486" s="22" t="str">
        <x:f>HYPERLINK("https://etp-aktiv.ru/catalog/materialy/truboprovody/2000335380-U121/","Открыть позицию")</x:f>
        <x:v>Открыть позицию</x:v>
      </x:c>
    </x:row>
    <x:row r="487" ht="28" customHeight="1">
      <x:c r="A487" s="16" t="str">
        <x:v>Кемеровская теплосетевая компания</x:v>
      </x:c>
      <x:c r="B487" s="16" t="str">
        <x:v>M2000335380-U121</x:v>
      </x:c>
      <x:c r="C487" s="16" t="str">
        <x:v>ПЕРЕХОД К-2 СТ20 57*3-25*1,6 ГОСТ17378</x:v>
      </x:c>
      <x:c r="D487" s="16" t="str">
        <x:v>Детали фасонные</x:v>
      </x:c>
      <x:c r="E487" s="16" t="str">
        <x:v>ШТ</x:v>
      </x:c>
      <x:c r="F487" s="21" t="n">
        <x:v>1</x:v>
      </x:c>
      <x:c r="G487" s="17" t="n">
        <x:v>86.925</x:v>
      </x:c>
      <x:c r="H487" s="17" t="n">
        <x:f>G487*F487</x:f>
        <x:v>86.925</x:v>
      </x:c>
      <x:c r="I487" s="22" t="str">
        <x:f>HYPERLINK("https://etp-aktiv.ru/catalog/materialy/truboprovody/M2000335380-U121/","Открыть позицию")</x:f>
        <x:v>Открыть позицию</x:v>
      </x:c>
    </x:row>
    <x:row r="488" ht="28" customHeight="1">
      <x:c r="A488" s="16" t="str">
        <x:v>Кемеровская теплосетевая компания</x:v>
      </x:c>
      <x:c r="B488" s="16" t="str">
        <x:v>2000555061-U121</x:v>
      </x:c>
      <x:c r="C488" s="16" t="str">
        <x:v>ПЕРЕХОД КП 09Г2С 426*12-325*10 34.10.700</x:v>
      </x:c>
      <x:c r="D488" s="16" t="str">
        <x:v>Детали фасонные</x:v>
      </x:c>
      <x:c r="E488" s="16" t="str">
        <x:v>ШТ</x:v>
      </x:c>
      <x:c r="F488" s="21" t="n">
        <x:v>2</x:v>
      </x:c>
      <x:c r="G488" s="17" t="n">
        <x:v>8480.1224</x:v>
      </x:c>
      <x:c r="H488" s="17" t="n">
        <x:f>G488*F488</x:f>
        <x:v>16960.2448</x:v>
      </x:c>
      <x:c r="I488" s="22" t="str">
        <x:f>HYPERLINK("https://etp-aktiv.ru/catalog/materialy/truboprovody/2000555061-U121/","Открыть позицию")</x:f>
        <x:v>Открыть позицию</x:v>
      </x:c>
    </x:row>
    <x:row r="489" ht="28" customHeight="1">
      <x:c r="A489" s="16" t="str">
        <x:v>Кемеровская теплосетевая компания</x:v>
      </x:c>
      <x:c r="B489" s="16" t="str">
        <x:v>2000555095-U121</x:v>
      </x:c>
      <x:c r="C489" s="16" t="str">
        <x:v>ПЕРЕХОД ПК 09Г2С 76*5-45*4 ГОСТ17378</x:v>
      </x:c>
      <x:c r="D489" s="16" t="str">
        <x:v>Детали фасонные</x:v>
      </x:c>
      <x:c r="E489" s="16" t="str">
        <x:v>ШТ</x:v>
      </x:c>
      <x:c r="F489" s="21" t="n">
        <x:v>1</x:v>
      </x:c>
      <x:c r="G489" s="17" t="n">
        <x:v>78.9706</x:v>
      </x:c>
      <x:c r="H489" s="17" t="n">
        <x:f>G489*F489</x:f>
        <x:v>78.9706</x:v>
      </x:c>
      <x:c r="I489" s="22" t="str">
        <x:f>HYPERLINK("https://etp-aktiv.ru/catalog/materialy/truboprovody/2000555095-U121/","Открыть позицию")</x:f>
        <x:v>Открыть позицию</x:v>
      </x:c>
    </x:row>
    <x:row r="490" ht="28" customHeight="1">
      <x:c r="A490" s="16" t="str">
        <x:v>Кемеровская теплосетевая компания</x:v>
      </x:c>
      <x:c r="B490" s="16" t="str">
        <x:v>2000555091-U121</x:v>
      </x:c>
      <x:c r="C490" s="16" t="str">
        <x:v>ПЕРЕХОД ПК 09Г2С 89*6-57*4 ГОСТ17378</x:v>
      </x:c>
      <x:c r="D490" s="16" t="str">
        <x:v>Детали фасонные</x:v>
      </x:c>
      <x:c r="E490" s="16" t="str">
        <x:v>ШТ</x:v>
      </x:c>
      <x:c r="F490" s="21" t="n">
        <x:v>1</x:v>
      </x:c>
      <x:c r="G490" s="17" t="n">
        <x:v>297.375</x:v>
      </x:c>
      <x:c r="H490" s="17" t="n">
        <x:f>G490*F490</x:f>
        <x:v>297.375</x:v>
      </x:c>
      <x:c r="I490" s="22" t="str">
        <x:f>HYPERLINK("https://etp-aktiv.ru/catalog/materialy/truboprovody/2000555091-U121/","Открыть позицию")</x:f>
        <x:v>Открыть позицию</x:v>
      </x:c>
    </x:row>
    <x:row r="491" ht="28" customHeight="1">
      <x:c r="A491" s="16" t="str">
        <x:v>Кемеровская теплосетевая компания</x:v>
      </x:c>
      <x:c r="B491" s="16" t="str">
        <x:v>2000798352-U121</x:v>
      </x:c>
      <x:c r="C491" s="16" t="str">
        <x:v>ПЕРЕХОД ПК СТ20 45*4-32*4 ГОСТ17378-2001</x:v>
      </x:c>
      <x:c r="D491" s="16" t="str">
        <x:v>Детали фасонные</x:v>
      </x:c>
      <x:c r="E491" s="16" t="str">
        <x:v>ШТ</x:v>
      </x:c>
      <x:c r="F491" s="21" t="n">
        <x:v>4</x:v>
      </x:c>
      <x:c r="G491" s="17" t="n">
        <x:v>129.1492</x:v>
      </x:c>
      <x:c r="H491" s="17" t="n">
        <x:f>G491*F491</x:f>
        <x:v>516.5968</x:v>
      </x:c>
      <x:c r="I491" s="22" t="str">
        <x:f>HYPERLINK("https://etp-aktiv.ru/catalog/materialy/truboprovody/2000798352-U121/","Открыть позицию")</x:f>
        <x:v>Открыть позицию</x:v>
      </x:c>
    </x:row>
    <x:row r="492" ht="28" customHeight="1">
      <x:c r="A492" s="16" t="str">
        <x:v>Кемеровская теплосетевая компания</x:v>
      </x:c>
      <x:c r="B492" s="16" t="str">
        <x:v>2000555085-U121</x:v>
      </x:c>
      <x:c r="C492" s="16" t="str">
        <x:v>ПЕРЕХОД ПК СТ20 57*6-32*4 ГОСТ17378-01</x:v>
      </x:c>
      <x:c r="D492" s="16" t="str">
        <x:v>Детали фасонные</x:v>
      </x:c>
      <x:c r="E492" s="16" t="str">
        <x:v>ШТ</x:v>
      </x:c>
      <x:c r="F492" s="21" t="n">
        <x:v>4</x:v>
      </x:c>
      <x:c r="G492" s="17" t="n">
        <x:v>233.325</x:v>
      </x:c>
      <x:c r="H492" s="17" t="n">
        <x:f>G492*F492</x:f>
        <x:v>933.3</x:v>
      </x:c>
      <x:c r="I492" s="22" t="str">
        <x:f>HYPERLINK("https://etp-aktiv.ru/catalog/materialy/truboprovody/2000555085-U121/","Открыть позицию")</x:f>
        <x:v>Открыть позицию</x:v>
      </x:c>
    </x:row>
    <x:row r="493" ht="28" customHeight="1">
      <x:c r="A493" s="16" t="str">
        <x:v>Кемеровская теплосетевая компания</x:v>
      </x:c>
      <x:c r="B493" s="16" t="str">
        <x:v>2000555087-U121</x:v>
      </x:c>
      <x:c r="C493" s="16" t="str">
        <x:v>ПЕРЕХОД ПК СТ20 76*3,5-38*3 ГОСТ17378-01</x:v>
      </x:c>
      <x:c r="D493" s="16" t="str">
        <x:v>Детали фасонные</x:v>
      </x:c>
      <x:c r="E493" s="16" t="str">
        <x:v>ШТ</x:v>
      </x:c>
      <x:c r="F493" s="21" t="n">
        <x:v>11</x:v>
      </x:c>
      <x:c r="G493" s="17" t="n">
        <x:v>178.42499999999998</x:v>
      </x:c>
      <x:c r="H493" s="17" t="n">
        <x:f>G493*F493</x:f>
        <x:v>1962.6749999999997</x:v>
      </x:c>
      <x:c r="I493" s="22" t="str">
        <x:f>HYPERLINK("https://etp-aktiv.ru/catalog/materialy/truboprovody/2000555087-U121/","Открыть позицию")</x:f>
        <x:v>Открыть позицию</x:v>
      </x:c>
    </x:row>
    <x:row r="494" ht="28" customHeight="1">
      <x:c r="A494" s="16" t="str">
        <x:v>Кемеровская теплосетевая компания</x:v>
      </x:c>
      <x:c r="B494" s="16" t="str">
        <x:v>2001032478-U121</x:v>
      </x:c>
      <x:c r="C494" s="16" t="str">
        <x:v>ПЕРЕХОД ПЭ 09Г2С 89*3,5-45*2,5 ГОСТ17378</x:v>
      </x:c>
      <x:c r="D494" s="16" t="str">
        <x:v>Детали фасонные</x:v>
      </x:c>
      <x:c r="E494" s="16" t="str">
        <x:v>ШТ</x:v>
      </x:c>
      <x:c r="F494" s="21" t="n">
        <x:v>1</x:v>
      </x:c>
      <x:c r="G494" s="17" t="n">
        <x:v>1143.75</x:v>
      </x:c>
      <x:c r="H494" s="17" t="n">
        <x:f>G494*F494</x:f>
        <x:v>1143.75</x:v>
      </x:c>
      <x:c r="I494" s="22" t="str">
        <x:f>HYPERLINK("https://etp-aktiv.ru/catalog/materialy/truboprovody/2001032478-U121/","Открыть позицию")</x:f>
        <x:v>Открыть позицию</x:v>
      </x:c>
    </x:row>
    <x:row r="495" ht="28" customHeight="1">
      <x:c r="A495" s="16" t="str">
        <x:v>Кемеровская теплосетевая компания</x:v>
      </x:c>
      <x:c r="B495" s="16" t="str">
        <x:v>2000798287-U121</x:v>
      </x:c>
      <x:c r="C495" s="16" t="str">
        <x:v>ПЕРЕХОД СТ20 133*6-108*6 ГОСТ17378-2001</x:v>
      </x:c>
      <x:c r="D495" s="16" t="str">
        <x:v>Детали фасонные</x:v>
      </x:c>
      <x:c r="E495" s="16" t="str">
        <x:v>ШТ</x:v>
      </x:c>
      <x:c r="F495" s="21" t="n">
        <x:v>1</x:v>
      </x:c>
      <x:c r="G495" s="17" t="n">
        <x:v>666.425</x:v>
      </x:c>
      <x:c r="H495" s="17" t="n">
        <x:f>G495*F495</x:f>
        <x:v>666.425</x:v>
      </x:c>
      <x:c r="I495" s="22" t="str">
        <x:f>HYPERLINK("https://etp-aktiv.ru/catalog/materialy/truboprovody/2000798287-U121/","Открыть позицию")</x:f>
        <x:v>Открыть позицию</x:v>
      </x:c>
    </x:row>
    <x:row r="496" ht="28" customHeight="1">
      <x:c r="A496" s="16" t="str">
        <x:v>Кемеровская теплосетевая компания</x:v>
      </x:c>
      <x:c r="B496" s="16" t="str">
        <x:v>2000798288-U121</x:v>
      </x:c>
      <x:c r="C496" s="16" t="str">
        <x:v>ПЕРЕХОД СТ20 133*6-89*6 ГОСТ17378-2001</x:v>
      </x:c>
      <x:c r="D496" s="16" t="str">
        <x:v>Детали фасонные</x:v>
      </x:c>
      <x:c r="E496" s="16" t="str">
        <x:v>ШТ</x:v>
      </x:c>
      <x:c r="F496" s="21" t="n">
        <x:v>2</x:v>
      </x:c>
      <x:c r="G496" s="17" t="n">
        <x:v>571.875</x:v>
      </x:c>
      <x:c r="H496" s="17" t="n">
        <x:f>G496*F496</x:f>
        <x:v>1143.75</x:v>
      </x:c>
      <x:c r="I496" s="22" t="str">
        <x:f>HYPERLINK("https://etp-aktiv.ru/catalog/materialy/truboprovody/2000798288-U121/","Открыть позицию")</x:f>
        <x:v>Открыть позицию</x:v>
      </x:c>
    </x:row>
    <x:row r="497" ht="28" customHeight="1">
      <x:c r="A497" s="16" t="str">
        <x:v>Кемеровская теплосетевая компания</x:v>
      </x:c>
      <x:c r="B497" s="16" t="str">
        <x:v>2000609979-U121</x:v>
      </x:c>
      <x:c r="C497" s="16" t="str">
        <x:v>ПЕРЕХОД Э 17Г1С 1000*14 700 14</x:v>
      </x:c>
      <x:c r="D497" s="16" t="str">
        <x:v>Детали фасонные</x:v>
      </x:c>
      <x:c r="E497" s="16" t="str">
        <x:v>ШТ</x:v>
      </x:c>
      <x:c r="F497" s="21" t="n">
        <x:v>2</x:v>
      </x:c>
      <x:c r="G497" s="17" t="n">
        <x:v>41797.2</x:v>
      </x:c>
      <x:c r="H497" s="17" t="n">
        <x:f>G497*F497</x:f>
        <x:v>83594.4</x:v>
      </x:c>
      <x:c r="I497" s="22" t="str">
        <x:f>HYPERLINK("https://etp-aktiv.ru/catalog/materialy/truboprovody/2000609979-U121/","Открыть позицию")</x:f>
        <x:v>Открыть позицию</x:v>
      </x:c>
    </x:row>
    <x:row r="498" ht="28" customHeight="1">
      <x:c r="A498" s="16" t="str">
        <x:v>Кемеровская теплосетевая компания</x:v>
      </x:c>
      <x:c r="B498" s="16" t="str">
        <x:v>2000683977-U121</x:v>
      </x:c>
      <x:c r="C498" s="16" t="str">
        <x:v>ПЕРЕХОД Э 17Г1С 1020*12-820*12 ТС-586-52</x:v>
      </x:c>
      <x:c r="D498" s="16" t="str">
        <x:v>Детали фасонные</x:v>
      </x:c>
      <x:c r="E498" s="16" t="str">
        <x:v>ШТ</x:v>
      </x:c>
      <x:c r="F498" s="21" t="n">
        <x:v>2</x:v>
      </x:c>
      <x:c r="G498" s="17" t="n">
        <x:v>42013.75</x:v>
      </x:c>
      <x:c r="H498" s="17" t="n">
        <x:f>G498*F498</x:f>
        <x:v>84027.5</x:v>
      </x:c>
      <x:c r="I498" s="22" t="str">
        <x:f>HYPERLINK("https://etp-aktiv.ru/catalog/materialy/truboprovody/2000683977-U121/","Открыть позицию")</x:f>
        <x:v>Открыть позицию</x:v>
      </x:c>
    </x:row>
    <x:row r="499" ht="28" customHeight="1">
      <x:c r="A499" s="16" t="str">
        <x:v>Кемеровская теплосетевая компания</x:v>
      </x:c>
      <x:c r="B499" s="16" t="str">
        <x:v>2000568276-U121</x:v>
      </x:c>
      <x:c r="C499" s="16" t="str">
        <x:v>ПЕРЕХОД Э 17Г1С 600*500- ТС-586-37</x:v>
      </x:c>
      <x:c r="D499" s="16" t="str">
        <x:v>Детали фасонные</x:v>
      </x:c>
      <x:c r="E499" s="16" t="str">
        <x:v>ШТ</x:v>
      </x:c>
      <x:c r="F499" s="21" t="n">
        <x:v>1</x:v>
      </x:c>
      <x:c r="G499" s="17" t="n">
        <x:v>18295.425</x:v>
      </x:c>
      <x:c r="H499" s="17" t="n">
        <x:f>G499*F499</x:f>
        <x:v>18295.425</x:v>
      </x:c>
      <x:c r="I499" s="22" t="str">
        <x:f>HYPERLINK("https://etp-aktiv.ru/catalog/materialy/truboprovody/2000568276-U121/","Открыть позицию")</x:f>
        <x:v>Открыть позицию</x:v>
      </x:c>
    </x:row>
    <x:row r="500" ht="28" customHeight="1">
      <x:c r="A500" s="16" t="str">
        <x:v>Кемеровская теплосетевая компания</x:v>
      </x:c>
      <x:c r="B500" s="16" t="str">
        <x:v>2000884321-U121</x:v>
      </x:c>
      <x:c r="C500" s="16" t="str">
        <x:v>ПРОКЛАДКА А-15-1,6 ПОН ГОСТ15180-86</x:v>
      </x:c>
      <x:c r="D500" s="16" t="str">
        <x:v>Детали фасонные</x:v>
      </x:c>
      <x:c r="E500" s="16" t="str">
        <x:v>ШТ</x:v>
      </x:c>
      <x:c r="F500" s="21" t="n">
        <x:v>12</x:v>
      </x:c>
      <x:c r="G500" s="17" t="n">
        <x:v>141.825</x:v>
      </x:c>
      <x:c r="H500" s="17" t="n">
        <x:f>G500*F500</x:f>
        <x:v>1701.8999999999999</x:v>
      </x:c>
      <x:c r="I500" s="22" t="str">
        <x:f>HYPERLINK("https://etp-aktiv.ru/catalog/materialy/truboprovody/2000884321-U121/","Открыть позицию")</x:f>
        <x:v>Открыть позицию</x:v>
      </x:c>
    </x:row>
    <x:row r="501" ht="28" customHeight="1">
      <x:c r="A501" s="16" t="str">
        <x:v>Кемеровская теплосетевая компания</x:v>
      </x:c>
      <x:c r="B501" s="16" t="str">
        <x:v>2000884323-U121</x:v>
      </x:c>
      <x:c r="C501" s="16" t="str">
        <x:v>ПРОКЛАДКА А-20-1,6 ПОН ГОСТ15180-86</x:v>
      </x:c>
      <x:c r="D501" s="16" t="str">
        <x:v>Детали фасонные</x:v>
      </x:c>
      <x:c r="E501" s="16" t="str">
        <x:v>ШТ</x:v>
      </x:c>
      <x:c r="F501" s="21" t="n">
        <x:v>14</x:v>
      </x:c>
      <x:c r="G501" s="17" t="n">
        <x:v>141.825</x:v>
      </x:c>
      <x:c r="H501" s="17" t="n">
        <x:f>G501*F501</x:f>
        <x:v>1985.5499999999997</x:v>
      </x:c>
      <x:c r="I501" s="22" t="str">
        <x:f>HYPERLINK("https://etp-aktiv.ru/catalog/materialy/truboprovody/2000884323-U121/","Открыть позицию")</x:f>
        <x:v>Открыть позицию</x:v>
      </x:c>
    </x:row>
    <x:row r="502" ht="28" customHeight="1">
      <x:c r="A502" s="16" t="str">
        <x:v>Кемеровская теплосетевая компания</x:v>
      </x:c>
      <x:c r="B502" s="16" t="str">
        <x:v>2000884324-U121</x:v>
      </x:c>
      <x:c r="C502" s="16" t="str">
        <x:v>ПРОКЛАДКА А-25-1,6 ПОН ГОСТ15180-86</x:v>
      </x:c>
      <x:c r="D502" s="16" t="str">
        <x:v>Детали фасонные</x:v>
      </x:c>
      <x:c r="E502" s="16" t="str">
        <x:v>ШТ</x:v>
      </x:c>
      <x:c r="F502" s="21" t="n">
        <x:v>2</x:v>
      </x:c>
      <x:c r="G502" s="17" t="n">
        <x:v>141.825</x:v>
      </x:c>
      <x:c r="H502" s="17" t="n">
        <x:f>G502*F502</x:f>
        <x:v>283.65</x:v>
      </x:c>
      <x:c r="I502" s="22" t="str">
        <x:f>HYPERLINK("https://etp-aktiv.ru/catalog/materialy/truboprovody/2000884324-U121/","Открыть позицию")</x:f>
        <x:v>Открыть позицию</x:v>
      </x:c>
    </x:row>
    <x:row r="503" ht="28" customHeight="1">
      <x:c r="A503" s="16" t="str">
        <x:v>Кемеровская теплосетевая компания</x:v>
      </x:c>
      <x:c r="B503" s="16" t="str">
        <x:v>2000487254-U121</x:v>
      </x:c>
      <x:c r="C503" s="16" t="str">
        <x:v>ПРОКЛАДКА А-32-16-ПОН ГОСТ15180-86</x:v>
      </x:c>
      <x:c r="D503" s="16" t="str">
        <x:v>Детали фасонные</x:v>
      </x:c>
      <x:c r="E503" s="16" t="str">
        <x:v>ШТ</x:v>
      </x:c>
      <x:c r="F503" s="21" t="n">
        <x:v>24</x:v>
      </x:c>
      <x:c r="G503" s="17" t="n">
        <x:v>141.825</x:v>
      </x:c>
      <x:c r="H503" s="17" t="n">
        <x:f>G503*F503</x:f>
        <x:v>3403.7999999999997</x:v>
      </x:c>
      <x:c r="I503" s="22" t="str">
        <x:f>HYPERLINK("https://etp-aktiv.ru/catalog/materialy/truboprovody/2000487254-U121/","Открыть позицию")</x:f>
        <x:v>Открыть позицию</x:v>
      </x:c>
    </x:row>
    <x:row r="504" ht="28" customHeight="1">
      <x:c r="A504" s="16" t="str">
        <x:v>Кемеровская теплосетевая компания</x:v>
      </x:c>
      <x:c r="B504" s="16" t="str">
        <x:v>2000884325-U121</x:v>
      </x:c>
      <x:c r="C504" s="16" t="str">
        <x:v>ПРОКЛАДКА А-40-1,6 ПОН ГОСТ15180-86</x:v>
      </x:c>
      <x:c r="D504" s="16" t="str">
        <x:v>Детали фасонные</x:v>
      </x:c>
      <x:c r="E504" s="16" t="str">
        <x:v>ШТ</x:v>
      </x:c>
      <x:c r="F504" s="21" t="n">
        <x:v>6</x:v>
      </x:c>
      <x:c r="G504" s="17" t="n">
        <x:v>141.825</x:v>
      </x:c>
      <x:c r="H504" s="17" t="n">
        <x:f>G504*F504</x:f>
        <x:v>850.9499999999999</x:v>
      </x:c>
      <x:c r="I504" s="22" t="str">
        <x:f>HYPERLINK("https://etp-aktiv.ru/catalog/materialy/truboprovody/2000884325-U121/","Открыть позицию")</x:f>
        <x:v>Открыть позицию</x:v>
      </x:c>
    </x:row>
    <x:row r="505" ht="28" customHeight="1">
      <x:c r="A505" s="16" t="str">
        <x:v>Кемеровская теплосетевая компания</x:v>
      </x:c>
      <x:c r="B505" s="16" t="str">
        <x:v>2000088451-U121</x:v>
      </x:c>
      <x:c r="C505" s="16" t="str">
        <x:v>РЕЗЬБА D32 ГОСТ6357-81</x:v>
      </x:c>
      <x:c r="D505" s="16" t="str">
        <x:v>Детали фасонные</x:v>
      </x:c>
      <x:c r="E505" s="16" t="str">
        <x:v>ШТ</x:v>
      </x:c>
      <x:c r="F505" s="21" t="n">
        <x:v>2</x:v>
      </x:c>
      <x:c r="G505" s="17" t="n">
        <x:v>73.2</x:v>
      </x:c>
      <x:c r="H505" s="17" t="n">
        <x:f>G505*F505</x:f>
        <x:v>146.4</x:v>
      </x:c>
      <x:c r="I505" s="22" t="str">
        <x:f>HYPERLINK("https://etp-aktiv.ru/catalog/materialy/truboprovody/2000088451-U121/","Открыть позицию")</x:f>
        <x:v>Открыть позицию</x:v>
      </x:c>
    </x:row>
    <x:row r="506" ht="28" customHeight="1">
      <x:c r="A506" s="16" t="str">
        <x:v>Кемеровская теплосетевая компания</x:v>
      </x:c>
      <x:c r="B506" s="16" t="str">
        <x:v>2000088450-U121</x:v>
      </x:c>
      <x:c r="C506" s="16" t="str">
        <x:v>РЕЗЬБА D50 ГОСТ6357-81</x:v>
      </x:c>
      <x:c r="D506" s="16" t="str">
        <x:v>Детали фасонные</x:v>
      </x:c>
      <x:c r="E506" s="16" t="str">
        <x:v>ШТ</x:v>
      </x:c>
      <x:c r="F506" s="21" t="n">
        <x:v>2</x:v>
      </x:c>
      <x:c r="G506" s="17" t="n">
        <x:v>86.925</x:v>
      </x:c>
      <x:c r="H506" s="17" t="n">
        <x:f>G506*F506</x:f>
        <x:v>173.85</x:v>
      </x:c>
      <x:c r="I506" s="22" t="str">
        <x:f>HYPERLINK("https://etp-aktiv.ru/catalog/materialy/truboprovody/2000088450-U121/","Открыть позицию")</x:f>
        <x:v>Открыть позицию</x:v>
      </x:c>
    </x:row>
    <x:row r="507" ht="28" customHeight="1">
      <x:c r="A507" s="16" t="str">
        <x:v>Кемеровская теплосетевая компания</x:v>
      </x:c>
      <x:c r="B507" s="16" t="str">
        <x:v>2000988358-U121</x:v>
      </x:c>
      <x:c r="C507" s="16" t="str">
        <x:v>РЕЗЬБА G3/4" L=50ММ ГОСТ6357-81</x:v>
      </x:c>
      <x:c r="D507" s="16" t="str">
        <x:v>Детали фасонные</x:v>
      </x:c>
      <x:c r="E507" s="16" t="str">
        <x:v>ШТ</x:v>
      </x:c>
      <x:c r="F507" s="21" t="n">
        <x:v>1</x:v>
      </x:c>
      <x:c r="G507" s="17" t="n">
        <x:v>910.425</x:v>
      </x:c>
      <x:c r="H507" s="17" t="n">
        <x:f>G507*F507</x:f>
        <x:v>910.425</x:v>
      </x:c>
      <x:c r="I507" s="22" t="str">
        <x:f>HYPERLINK("https://etp-aktiv.ru/catalog/materialy/truboprovody/2000988358-U121/","Открыть позицию")</x:f>
        <x:v>Открыть позицию</x:v>
      </x:c>
    </x:row>
    <x:row r="508" ht="28" customHeight="1">
      <x:c r="A508" s="16" t="str">
        <x:v>Кемеровская теплосетевая компания</x:v>
      </x:c>
      <x:c r="B508" s="16" t="str">
        <x:v>2000552909-U121</x:v>
      </x:c>
      <x:c r="C508" s="16" t="str">
        <x:v>РЕЗЬБА ПРАВАЯ ТРУБЫ ВГП DN15 L=40ММ</x:v>
      </x:c>
      <x:c r="D508" s="16" t="str">
        <x:v>Детали фасонные</x:v>
      </x:c>
      <x:c r="E508" s="16" t="str">
        <x:v>ШТ</x:v>
      </x:c>
      <x:c r="F508" s="21" t="n">
        <x:v>5</x:v>
      </x:c>
      <x:c r="G508" s="17" t="n">
        <x:v>61.0732</x:v>
      </x:c>
      <x:c r="H508" s="17" t="n">
        <x:f>G508*F508</x:f>
        <x:v>305.366</x:v>
      </x:c>
      <x:c r="I508" s="22" t="str">
        <x:f>HYPERLINK("https://etp-aktiv.ru/catalog/materialy/truboprovody/2000552909-U121/","Открыть позицию")</x:f>
        <x:v>Открыть позицию</x:v>
      </x:c>
    </x:row>
    <x:row r="509" ht="28" customHeight="1">
      <x:c r="A509" s="16" t="str">
        <x:v>Кемеровская теплосетевая компания</x:v>
      </x:c>
      <x:c r="B509" s="16" t="str">
        <x:v>2000040043-U121</x:v>
      </x:c>
      <x:c r="C509" s="16" t="str">
        <x:v>СГОН DN15 ГОСТ8969-75</x:v>
      </x:c>
      <x:c r="D509" s="16" t="str">
        <x:v>Детали фасонные</x:v>
      </x:c>
      <x:c r="E509" s="16" t="str">
        <x:v>ШТ</x:v>
      </x:c>
      <x:c r="F509" s="21" t="n">
        <x:v>1</x:v>
      </x:c>
      <x:c r="G509" s="17" t="n">
        <x:v>22.8018</x:v>
      </x:c>
      <x:c r="H509" s="17" t="n">
        <x:f>G509*F509</x:f>
        <x:v>22.8018</x:v>
      </x:c>
      <x:c r="I509" s="22" t="str">
        <x:f>HYPERLINK("https://etp-aktiv.ru/catalog/materialy/truboprovody/2000040043-U121/","Открыть позицию")</x:f>
        <x:v>Открыть позицию</x:v>
      </x:c>
    </x:row>
    <x:row r="510" ht="28" customHeight="1">
      <x:c r="A510" s="16" t="str">
        <x:v>Кемеровская теплосетевая компания</x:v>
      </x:c>
      <x:c r="B510" s="16" t="str">
        <x:v>2000040044-U121</x:v>
      </x:c>
      <x:c r="C510" s="16" t="str">
        <x:v>СГОН DN20 ГОСТ8969-75</x:v>
      </x:c>
      <x:c r="D510" s="16" t="str">
        <x:v>Детали фасонные</x:v>
      </x:c>
      <x:c r="E510" s="16" t="str">
        <x:v>ШТ</x:v>
      </x:c>
      <x:c r="F510" s="21" t="n">
        <x:v>2</x:v>
      </x:c>
      <x:c r="G510" s="17" t="n">
        <x:v>23.9242</x:v>
      </x:c>
      <x:c r="H510" s="17" t="n">
        <x:f>G510*F510</x:f>
        <x:v>47.8484</x:v>
      </x:c>
      <x:c r="I510" s="22" t="str">
        <x:f>HYPERLINK("https://etp-aktiv.ru/catalog/materialy/truboprovody/2000040044-U121/","Открыть позицию")</x:f>
        <x:v>Открыть позицию</x:v>
      </x:c>
    </x:row>
    <x:row r="511" ht="28" customHeight="1">
      <x:c r="A511" s="16" t="str">
        <x:v>Кемеровская теплосетевая компания</x:v>
      </x:c>
      <x:c r="B511" s="16" t="str">
        <x:v>2000040046-U121</x:v>
      </x:c>
      <x:c r="C511" s="16" t="str">
        <x:v>СГОН DN40 ГОСТ8969-75</x:v>
      </x:c>
      <x:c r="D511" s="16" t="str">
        <x:v>Детали фасонные</x:v>
      </x:c>
      <x:c r="E511" s="16" t="str">
        <x:v>ШТ</x:v>
      </x:c>
      <x:c r="F511" s="21" t="n">
        <x:v>2</x:v>
      </x:c>
      <x:c r="G511" s="17" t="n">
        <x:v>18.031599999999997</x:v>
      </x:c>
      <x:c r="H511" s="17" t="n">
        <x:f>G511*F511</x:f>
        <x:v>36.063199999999995</x:v>
      </x:c>
      <x:c r="I511" s="22" t="str">
        <x:f>HYPERLINK("https://etp-aktiv.ru/catalog/materialy/truboprovody/2000040046-U121/","Открыть позицию")</x:f>
        <x:v>Открыть позицию</x:v>
      </x:c>
    </x:row>
    <x:row r="512" ht="28" customHeight="1">
      <x:c r="A512" s="16" t="str">
        <x:v>Кемеровская теплосетевая компания</x:v>
      </x:c>
      <x:c r="B512" s="16" t="str">
        <x:v>2000040047-U121</x:v>
      </x:c>
      <x:c r="C512" s="16" t="str">
        <x:v>СГОН DN50 ГОСТ8969-75</x:v>
      </x:c>
      <x:c r="D512" s="16" t="str">
        <x:v>Детали фасонные</x:v>
      </x:c>
      <x:c r="E512" s="16" t="str">
        <x:v>ШТ</x:v>
      </x:c>
      <x:c r="F512" s="21" t="n">
        <x:v>2</x:v>
      </x:c>
      <x:c r="G512" s="17" t="n">
        <x:v>86.925</x:v>
      </x:c>
      <x:c r="H512" s="17" t="n">
        <x:f>G512*F512</x:f>
        <x:v>173.85</x:v>
      </x:c>
      <x:c r="I512" s="22" t="str">
        <x:f>HYPERLINK("https://etp-aktiv.ru/catalog/materialy/truboprovody/2000040047-U121/","Открыть позицию")</x:f>
        <x:v>Открыть позицию</x:v>
      </x:c>
    </x:row>
    <x:row r="513" ht="28" customHeight="1">
      <x:c r="A513" s="16" t="str">
        <x:v>Кемеровская теплосетевая компания</x:v>
      </x:c>
      <x:c r="B513" s="16" t="str">
        <x:v>2000675560-U121</x:v>
      </x:c>
      <x:c r="C513" s="16" t="str">
        <x:v>ТРОЙНИК 09Г2С 219*8 219 ГОСТ17376-2001</x:v>
      </x:c>
      <x:c r="D513" s="16" t="str">
        <x:v>Детали фасонные</x:v>
      </x:c>
      <x:c r="E513" s="16" t="str">
        <x:v>ШТ</x:v>
      </x:c>
      <x:c r="F513" s="21" t="n">
        <x:v>2</x:v>
      </x:c>
      <x:c r="G513" s="17" t="n">
        <x:v>5950.001</x:v>
      </x:c>
      <x:c r="H513" s="17" t="n">
        <x:f>G513*F513</x:f>
        <x:v>11900.002</x:v>
      </x:c>
      <x:c r="I513" s="22" t="str">
        <x:f>HYPERLINK("https://etp-aktiv.ru/catalog/materialy/truboprovody/2000675560-U121/","Открыть позицию")</x:f>
        <x:v>Открыть позицию</x:v>
      </x:c>
    </x:row>
    <x:row r="514" ht="28" customHeight="1">
      <x:c r="A514" s="16" t="str">
        <x:v>Кемеровская теплосетевая компания</x:v>
      </x:c>
      <x:c r="B514" s="16" t="str">
        <x:v>2000622769-U121</x:v>
      </x:c>
      <x:c r="C514" s="16" t="str">
        <x:v>ТРОЙНИК 09Г2С 426*14-219*7 ТС588.000-065</x:v>
      </x:c>
      <x:c r="D514" s="16" t="str">
        <x:v>Детали фасонные</x:v>
      </x:c>
      <x:c r="E514" s="16" t="str">
        <x:v>ШТ</x:v>
      </x:c>
      <x:c r="F514" s="21" t="n">
        <x:v>4</x:v>
      </x:c>
      <x:c r="G514" s="17" t="n">
        <x:v>22870.425</x:v>
      </x:c>
      <x:c r="H514" s="17" t="n">
        <x:f>G514*F514</x:f>
        <x:v>91481.7</x:v>
      </x:c>
      <x:c r="I514" s="22" t="str">
        <x:f>HYPERLINK("https://etp-aktiv.ru/catalog/materialy/truboprovody/2000622769-U121/","Открыть позицию")</x:f>
        <x:v>Открыть позицию</x:v>
      </x:c>
    </x:row>
    <x:row r="515" ht="28" customHeight="1">
      <x:c r="A515" s="16" t="str">
        <x:v>Кемеровская теплосетевая компания</x:v>
      </x:c>
      <x:c r="B515" s="16" t="str">
        <x:v>2000636005-U121</x:v>
      </x:c>
      <x:c r="C515" s="16" t="str">
        <x:v>ТРОЙНИК 17Г1С 630*12-219*7 ТС588.000-087</x:v>
      </x:c>
      <x:c r="D515" s="16" t="str">
        <x:v>Детали фасонные</x:v>
      </x:c>
      <x:c r="E515" s="16" t="str">
        <x:v>ШТ</x:v>
      </x:c>
      <x:c r="F515" s="21" t="n">
        <x:v>3</x:v>
      </x:c>
      <x:c r="G515" s="17" t="n">
        <x:v>24876.385599999998</x:v>
      </x:c>
      <x:c r="H515" s="17" t="n">
        <x:f>G515*F515</x:f>
        <x:v>74629.1568</x:v>
      </x:c>
      <x:c r="I515" s="22" t="str">
        <x:f>HYPERLINK("https://etp-aktiv.ru/catalog/materialy/truboprovody/2000636005-U121/","Открыть позицию")</x:f>
        <x:v>Открыть позицию</x:v>
      </x:c>
    </x:row>
    <x:row r="516" ht="28" customHeight="1">
      <x:c r="A516" s="16" t="str">
        <x:v>Кемеровская теплосетевая компания</x:v>
      </x:c>
      <x:c r="B516" s="16" t="str">
        <x:v>2000638076-U121</x:v>
      </x:c>
      <x:c r="C516" s="16" t="str">
        <x:v>ТРОЙНИК 17Г1С 630*14-630*12 ТС590.000-22</x:v>
      </x:c>
      <x:c r="D516" s="16" t="str">
        <x:v>Детали фасонные</x:v>
      </x:c>
      <x:c r="E516" s="16" t="str">
        <x:v>ШТ</x:v>
      </x:c>
      <x:c r="F516" s="21" t="n">
        <x:v>2</x:v>
      </x:c>
      <x:c r="G516" s="17" t="n">
        <x:v>34129.5</x:v>
      </x:c>
      <x:c r="H516" s="17" t="n">
        <x:f>G516*F516</x:f>
        <x:v>68259</x:v>
      </x:c>
      <x:c r="I516" s="22" t="str">
        <x:f>HYPERLINK("https://etp-aktiv.ru/catalog/materialy/truboprovody/2000638076-U121/","Открыть позицию")</x:f>
        <x:v>Открыть позицию</x:v>
      </x:c>
    </x:row>
    <x:row r="517" ht="28" customHeight="1">
      <x:c r="A517" s="16" t="str">
        <x:v>Кемеровская теплосетевая компания</x:v>
      </x:c>
      <x:c r="B517" s="16" t="str">
        <x:v>2000555298-U121</x:v>
      </x:c>
      <x:c r="C517" s="16" t="str">
        <x:v>ТРОЙНИК 17Г1С 820*11-273*8 1,6 ТС588-121</x:v>
      </x:c>
      <x:c r="D517" s="16" t="str">
        <x:v>Детали фасонные</x:v>
      </x:c>
      <x:c r="E517" s="16" t="str">
        <x:v>ШТ</x:v>
      </x:c>
      <x:c r="F517" s="21" t="n">
        <x:v>3</x:v>
      </x:c>
      <x:c r="G517" s="17" t="n">
        <x:v>27989.0814</x:v>
      </x:c>
      <x:c r="H517" s="17" t="n">
        <x:f>G517*F517</x:f>
        <x:v>83967.2442</x:v>
      </x:c>
      <x:c r="I517" s="22" t="str">
        <x:f>HYPERLINK("https://etp-aktiv.ru/catalog/materialy/truboprovody/2000555298-U121/","Открыть позицию")</x:f>
        <x:v>Открыть позицию</x:v>
      </x:c>
    </x:row>
    <x:row r="518" ht="28" customHeight="1">
      <x:c r="A518" s="16" t="str">
        <x:v>Кемеровская теплосетевая компания</x:v>
      </x:c>
      <x:c r="B518" s="16" t="str">
        <x:v>2000631209-U121</x:v>
      </x:c>
      <x:c r="C518" s="16" t="str">
        <x:v>ТРОЙНИК 17Г1С 820*18-820 ТС-590.000-28</x:v>
      </x:c>
      <x:c r="D518" s="16" t="str">
        <x:v>Детали фасонные</x:v>
      </x:c>
      <x:c r="E518" s="16" t="str">
        <x:v>ШТ</x:v>
      </x:c>
      <x:c r="F518" s="21" t="n">
        <x:v>2</x:v>
      </x:c>
      <x:c r="G518" s="17" t="n">
        <x:v>76731.9</x:v>
      </x:c>
      <x:c r="H518" s="17" t="n">
        <x:f>G518*F518</x:f>
        <x:v>153463.8</x:v>
      </x:c>
      <x:c r="I518" s="22" t="str">
        <x:f>HYPERLINK("https://etp-aktiv.ru/catalog/materialy/truboprovody/2000631209-U121/","Открыть позицию")</x:f>
        <x:v>Открыть позицию</x:v>
      </x:c>
    </x:row>
    <x:row r="519" ht="28" customHeight="1">
      <x:c r="A519" s="16" t="str">
        <x:v>Кемеровская теплосетевая компания</x:v>
      </x:c>
      <x:c r="B519" s="16" t="str">
        <x:v>2000201298-U121</x:v>
      </x:c>
      <x:c r="C519" s="16" t="str">
        <x:v>ТРОЙНИК 426*14-426*14-25 ТС-590.000-15</x:v>
      </x:c>
      <x:c r="D519" s="16" t="str">
        <x:v>Детали фасонные</x:v>
      </x:c>
      <x:c r="E519" s="16" t="str">
        <x:v>ШТ</x:v>
      </x:c>
      <x:c r="F519" s="21" t="n">
        <x:v>4</x:v>
      </x:c>
      <x:c r="G519" s="17" t="n">
        <x:v>14230.994999999999</x:v>
      </x:c>
      <x:c r="H519" s="17" t="n">
        <x:f>G519*F519</x:f>
        <x:v>56923.979999999996</x:v>
      </x:c>
      <x:c r="I519" s="22" t="str">
        <x:f>HYPERLINK("https://etp-aktiv.ru/catalog/materialy/truboprovody/2000201298-U121/","Открыть позицию")</x:f>
        <x:v>Открыть позицию</x:v>
      </x:c>
    </x:row>
    <x:row r="520" ht="28" customHeight="1">
      <x:c r="A520" s="16" t="str">
        <x:v>Кемеровская теплосетевая компания</x:v>
      </x:c>
      <x:c r="B520" s="16" t="str">
        <x:v>2000679739-U121</x:v>
      </x:c>
      <x:c r="C520" s="16" t="str">
        <x:v>ТРОЙНИК П 09Г2С 219*6 133*5 ГОСТ17376-01</x:v>
      </x:c>
      <x:c r="D520" s="16" t="str">
        <x:v>Детали фасонные</x:v>
      </x:c>
      <x:c r="E520" s="16" t="str">
        <x:v>ШТ</x:v>
      </x:c>
      <x:c r="F520" s="21" t="n">
        <x:v>4</x:v>
      </x:c>
      <x:c r="G520" s="17" t="n">
        <x:v>2584.875</x:v>
      </x:c>
      <x:c r="H520" s="17" t="n">
        <x:f>G520*F520</x:f>
        <x:v>10339.5</x:v>
      </x:c>
      <x:c r="I520" s="22" t="str">
        <x:f>HYPERLINK("https://etp-aktiv.ru/catalog/materialy/truboprovody/2000679739-U121/","Открыть позицию")</x:f>
        <x:v>Открыть позицию</x:v>
      </x:c>
    </x:row>
    <x:row r="521" ht="28" customHeight="1">
      <x:c r="A521" s="16" t="str">
        <x:v>Кемеровская теплосетевая компания</x:v>
      </x:c>
      <x:c r="B521" s="16" t="str">
        <x:v>2000634618-U121</x:v>
      </x:c>
      <x:c r="C521" s="16" t="str">
        <x:v>ТРОЙНИК П В20 530*11-219*7 ТС588.000-079</x:v>
      </x:c>
      <x:c r="D521" s="16" t="str">
        <x:v>Детали фасонные</x:v>
      </x:c>
      <x:c r="E521" s="16" t="str">
        <x:v>ШТ</x:v>
      </x:c>
      <x:c r="F521" s="21" t="n">
        <x:v>2</x:v>
      </x:c>
      <x:c r="G521" s="17" t="n">
        <x:v>16465.425</x:v>
      </x:c>
      <x:c r="H521" s="17" t="n">
        <x:f>G521*F521</x:f>
        <x:v>32930.85</x:v>
      </x:c>
      <x:c r="I521" s="22" t="str">
        <x:f>HYPERLINK("https://etp-aktiv.ru/catalog/materialy/truboprovody/2000634618-U121/","Открыть позицию")</x:f>
        <x:v>Открыть позицию</x:v>
      </x:c>
    </x:row>
    <x:row r="522" ht="28" customHeight="1">
      <x:c r="A522" s="16" t="str">
        <x:v>Кемеровская теплосетевая компания</x:v>
      </x:c>
      <x:c r="B522" s="16" t="str">
        <x:v>2000971972-U121</x:v>
      </x:c>
      <x:c r="C522" s="16" t="str">
        <x:v>ТРОЙНИК СТ20 273*11-108*4 ТС-588.000-032</x:v>
      </x:c>
      <x:c r="D522" s="16" t="str">
        <x:v>Детали фасонные</x:v>
      </x:c>
      <x:c r="E522" s="16" t="str">
        <x:v>ШТ</x:v>
      </x:c>
      <x:c r="F522" s="21" t="n">
        <x:v>2</x:v>
      </x:c>
      <x:c r="G522" s="17" t="n">
        <x:v>7450.0032</x:v>
      </x:c>
      <x:c r="H522" s="17" t="n">
        <x:f>G522*F522</x:f>
        <x:v>14900.0064</x:v>
      </x:c>
      <x:c r="I522" s="22" t="str">
        <x:f>HYPERLINK("https://etp-aktiv.ru/catalog/materialy/truboprovody/2000971972-U121/","Открыть позицию")</x:f>
        <x:v>Открыть позицию</x:v>
      </x:c>
    </x:row>
    <x:row r="523" ht="28" customHeight="1">
      <x:c r="A523" s="16" t="str">
        <x:v>Кемеровская теплосетевая компания</x:v>
      </x:c>
      <x:c r="B523" s="16" t="str">
        <x:v>2000304883-U121</x:v>
      </x:c>
      <x:c r="C523" s="16" t="str">
        <x:v>ТРОЙНИК СТ20 325*8 325</x:v>
      </x:c>
      <x:c r="D523" s="16" t="str">
        <x:v>Детали фасонные</x:v>
      </x:c>
      <x:c r="E523" s="16" t="str">
        <x:v>ШТ</x:v>
      </x:c>
      <x:c r="F523" s="21" t="n">
        <x:v>2</x:v>
      </x:c>
      <x:c r="G523" s="17" t="n">
        <x:v>6400.425</x:v>
      </x:c>
      <x:c r="H523" s="17" t="n">
        <x:f>G523*F523</x:f>
        <x:v>12800.85</x:v>
      </x:c>
      <x:c r="I523" s="22" t="str">
        <x:f>HYPERLINK("https://etp-aktiv.ru/catalog/materialy/truboprovody/2000304883-U121/","Открыть позицию")</x:f>
        <x:v>Открыть позицию</x:v>
      </x:c>
    </x:row>
    <x:row r="524" ht="28" customHeight="1">
      <x:c r="A524" s="16" t="str">
        <x:v>Кемеровская теплосетевая компания</x:v>
      </x:c>
      <x:c r="B524" s="16" t="str">
        <x:v>2001023334-U121</x:v>
      </x:c>
      <x:c r="C524" s="16" t="str">
        <x:v>ТРУБА 09Г2С 108*9 ТУ14-3-1128-2000</x:v>
      </x:c>
      <x:c r="D524" s="16" t="str">
        <x:v>@Трубы прочие</x:v>
      </x:c>
      <x:c r="E524" s="16" t="str">
        <x:v>Т</x:v>
      </x:c>
      <x:c r="F524" s="30" t="n">
        <x:v>0.183</x:v>
      </x:c>
      <x:c r="G524" s="17" t="n">
        <x:v>242475</x:v>
      </x:c>
      <x:c r="H524" s="17" t="n">
        <x:f>G524*F524</x:f>
        <x:v>44372.924999999996</x:v>
      </x:c>
      <x:c r="I524" s="22" t="str">
        <x:f>HYPERLINK("https://etp-aktiv.ru/catalog/materialy/truby-stalnye-i-polimernye/2001023334-U121/","Открыть позицию")</x:f>
        <x:v>Открыть позицию</x:v>
      </x:c>
    </x:row>
    <x:row r="525" ht="28" customHeight="1">
      <x:c r="A525" s="16" t="str">
        <x:v>Кемеровская теплосетевая компания</x:v>
      </x:c>
      <x:c r="B525" s="16" t="str">
        <x:v>2000557814-U121</x:v>
      </x:c>
      <x:c r="C525" s="16" t="str">
        <x:v>ТРУБА 09Г2С 133*4 ГОСТ10705-80</x:v>
      </x:c>
      <x:c r="D525" s="16" t="str">
        <x:v>Трубы черные сварные малого и среднего диаметра</x:v>
      </x:c>
      <x:c r="E525" s="16" t="str">
        <x:v>Т</x:v>
      </x:c>
      <x:c r="F525" s="30" t="n">
        <x:v>0.087</x:v>
      </x:c>
      <x:c r="G525" s="17" t="n">
        <x:v>68935.6852</x:v>
      </x:c>
      <x:c r="H525" s="17" t="n">
        <x:f>G525*F525</x:f>
        <x:v>5997.404612400001</x:v>
      </x:c>
      <x:c r="I525" s="22" t="str">
        <x:f>HYPERLINK("https://etp-aktiv.ru/catalog/materialy/truby-stalnye-i-polimernye/2000557814-U121/","Открыть позицию")</x:f>
        <x:v>Открыть позицию</x:v>
      </x:c>
    </x:row>
    <x:row r="526" ht="28" customHeight="1">
      <x:c r="A526" s="16" t="str">
        <x:v>Кемеровская теплосетевая компания</x:v>
      </x:c>
      <x:c r="B526" s="16" t="str">
        <x:v>2000841378-U121</x:v>
      </x:c>
      <x:c r="C526" s="16" t="str">
        <x:v>ТРУБА 09Г2С 159*10 ГОСТ8731-74</x:v>
      </x:c>
      <x:c r="D526" s="16" t="str">
        <x:v>Трубы черные бесшовные</x:v>
      </x:c>
      <x:c r="E526" s="16" t="str">
        <x:v>Т</x:v>
      </x:c>
      <x:c r="F526" s="30" t="n">
        <x:v>0.24</x:v>
      </x:c>
      <x:c r="G526" s="17" t="n">
        <x:v>113612.5</x:v>
      </x:c>
      <x:c r="H526" s="17" t="n">
        <x:f>G526*F526</x:f>
        <x:v>27267</x:v>
      </x:c>
      <x:c r="I526" s="22" t="str">
        <x:f>HYPERLINK("https://etp-aktiv.ru/catalog/materialy/truby-stalnye-i-polimernye/2000841378-U121/","Открыть позицию")</x:f>
        <x:v>Открыть позицию</x:v>
      </x:c>
    </x:row>
    <x:row r="527" ht="28" customHeight="1">
      <x:c r="A527" s="16" t="str">
        <x:v>Кемеровская теплосетевая компания</x:v>
      </x:c>
      <x:c r="B527" s="16" t="str">
        <x:v>2000560154-U121</x:v>
      </x:c>
      <x:c r="C527" s="16" t="str">
        <x:v>ТРУБА 09Г2С 159*4,5 ГОСТ8731-74</x:v>
      </x:c>
      <x:c r="D527" s="16" t="str">
        <x:v>@Трубы прочие</x:v>
      </x:c>
      <x:c r="E527" s="16" t="str">
        <x:v>КГ</x:v>
      </x:c>
      <x:c r="F527" s="29" t="n">
        <x:v>540.375</x:v>
      </x:c>
      <x:c r="G527" s="17" t="n">
        <x:v>64.4282</x:v>
      </x:c>
      <x:c r="H527" s="17" t="n">
        <x:f>G527*F527</x:f>
        <x:v>34815.388575000004</x:v>
      </x:c>
      <x:c r="I527" s="22" t="str">
        <x:f>HYPERLINK("https://etp-aktiv.ru/catalog/materialy/truby-stalnye-i-polimernye/2000560154-U121/","Открыть позицию")</x:f>
        <x:v>Открыть позицию</x:v>
      </x:c>
    </x:row>
    <x:row r="528" ht="28" customHeight="1">
      <x:c r="A528" s="16" t="str">
        <x:v>Кемеровская теплосетевая компания</x:v>
      </x:c>
      <x:c r="B528" s="16" t="str">
        <x:v>2000726906-U121</x:v>
      </x:c>
      <x:c r="C528" s="16" t="str">
        <x:v>ТРУБА 09Г2С 159*5 ГОСТ10705-80</x:v>
      </x:c>
      <x:c r="D528" s="16" t="str">
        <x:v>Трубы черные сварные малого и среднего диаметра</x:v>
      </x:c>
      <x:c r="E528" s="16" t="str">
        <x:v>Т</x:v>
      </x:c>
      <x:c r="F528" s="30" t="n">
        <x:v>0.146</x:v>
      </x:c>
      <x:c r="G528" s="17" t="n">
        <x:v>63668.7134</x:v>
      </x:c>
      <x:c r="H528" s="17" t="n">
        <x:f>G528*F528</x:f>
        <x:v>9295.632156399999</x:v>
      </x:c>
      <x:c r="I528" s="22" t="str">
        <x:f>HYPERLINK("https://etp-aktiv.ru/catalog/materialy/truby-stalnye-i-polimernye/2000726906-U121/","Открыть позицию")</x:f>
        <x:v>Открыть позицию</x:v>
      </x:c>
    </x:row>
    <x:row r="529" ht="28" customHeight="1">
      <x:c r="A529" s="16" t="str">
        <x:v>Кемеровская теплосетевая компания</x:v>
      </x:c>
      <x:c r="B529" s="16" t="str">
        <x:v>2000560155-U121</x:v>
      </x:c>
      <x:c r="C529" s="16" t="str">
        <x:v>ТРУБА 09Г2С 159*5 ГОСТ8731-74</x:v>
      </x:c>
      <x:c r="D529" s="16" t="str">
        <x:v>Трубы черные бесшовные</x:v>
      </x:c>
      <x:c r="E529" s="16" t="str">
        <x:v>Т</x:v>
      </x:c>
      <x:c r="F529" s="30" t="n">
        <x:v>0.008</x:v>
      </x:c>
      <x:c r="G529" s="17" t="n">
        <x:v>115580.51860000001</x:v>
      </x:c>
      <x:c r="H529" s="17" t="n">
        <x:f>G529*F529</x:f>
        <x:v>924.6441488000002</x:v>
      </x:c>
      <x:c r="I529" s="22" t="str">
        <x:f>HYPERLINK("https://etp-aktiv.ru/catalog/materialy/truby-stalnye-i-polimernye/2000560155-U121/","Открыть позицию")</x:f>
        <x:v>Открыть позицию</x:v>
      </x:c>
    </x:row>
    <x:row r="530" ht="28" customHeight="1">
      <x:c r="A530" s="16" t="str">
        <x:v>Кемеровская теплосетевая компания</x:v>
      </x:c>
      <x:c r="B530" s="16" t="str">
        <x:v>2001028158-U121</x:v>
      </x:c>
      <x:c r="C530" s="16" t="str">
        <x:v>ТРУБА 09Г2С 159*5-1ППУ-ПЭ ГОСТ30732-2020</x:v>
      </x:c>
      <x:c r="D530" s="16" t="str">
        <x:v>Трубы и элементы трубопроводов теплоизолиров и футерованных</x:v>
      </x:c>
      <x:c r="E530" s="16" t="str">
        <x:v>ПМ</x:v>
      </x:c>
      <x:c r="F530" s="21" t="n">
        <x:v>7</x:v>
      </x:c>
      <x:c r="G530" s="17" t="n">
        <x:v>3714.9</x:v>
      </x:c>
      <x:c r="H530" s="17" t="n">
        <x:f>G530*F530</x:f>
        <x:v>26004.3</x:v>
      </x:c>
      <x:c r="I530" s="22" t="str">
        <x:f>HYPERLINK("https://etp-aktiv.ru/catalog/materialy/truboprovody/2001028158-U121/","Открыть позицию")</x:f>
        <x:v>Открыть позицию</x:v>
      </x:c>
    </x:row>
    <x:row r="531" ht="28" customHeight="1">
      <x:c r="A531" s="16" t="str">
        <x:v>Кемеровская теплосетевая компания</x:v>
      </x:c>
      <x:c r="B531" s="16" t="str">
        <x:v>2000719756-U121</x:v>
      </x:c>
      <x:c r="C531" s="16" t="str">
        <x:v>ТРУБА 09Г2С 159*9 ТУ14-3-1128-00</x:v>
      </x:c>
      <x:c r="D531" s="16" t="str">
        <x:v>Трубы черные бесшовные</x:v>
      </x:c>
      <x:c r="E531" s="16" t="str">
        <x:v>Т</x:v>
      </x:c>
      <x:c r="F531" s="30" t="n">
        <x:v>0.294</x:v>
      </x:c>
      <x:c r="G531" s="17" t="n">
        <x:v>117249.625</x:v>
      </x:c>
      <x:c r="H531" s="17" t="n">
        <x:f>G531*F531</x:f>
        <x:v>34471.389749999995</x:v>
      </x:c>
      <x:c r="I531" s="22" t="str">
        <x:f>HYPERLINK("https://etp-aktiv.ru/catalog/materialy/truby-stalnye-i-polimernye/2000719756-U121/","Открыть позицию")</x:f>
        <x:v>Открыть позицию</x:v>
      </x:c>
    </x:row>
    <x:row r="532" ht="28" customHeight="1">
      <x:c r="A532" s="16" t="str">
        <x:v>Кемеровская теплосетевая компания</x:v>
      </x:c>
      <x:c r="B532" s="16" t="str">
        <x:v>2000999633-U121</x:v>
      </x:c>
      <x:c r="C532" s="16" t="str">
        <x:v>ТРУБА 09Г2С 219*7 1-ППУ-ПЭ ГОСТ30732</x:v>
      </x:c>
      <x:c r="D532" s="16" t="str">
        <x:v>Трубы и элементы трубопроводов теплоизолиров и футерованных</x:v>
      </x:c>
      <x:c r="E532" s="16" t="str">
        <x:v>М</x:v>
      </x:c>
      <x:c r="F532" s="29" t="n">
        <x:v>2.6</x:v>
      </x:c>
      <x:c r="G532" s="17" t="n">
        <x:v>4105.605</x:v>
      </x:c>
      <x:c r="H532" s="17" t="n">
        <x:f>G532*F532</x:f>
        <x:v>10674.572999999999</x:v>
      </x:c>
      <x:c r="I532" s="22" t="str">
        <x:f>HYPERLINK("https://etp-aktiv.ru/catalog/materialy/truboprovody/2000999633-U121/","Открыть позицию")</x:f>
        <x:v>Открыть позицию</x:v>
      </x:c>
    </x:row>
    <x:row r="533" ht="28" customHeight="1">
      <x:c r="A533" s="16" t="str">
        <x:v>Кемеровская теплосетевая компания</x:v>
      </x:c>
      <x:c r="B533" s="16" t="str">
        <x:v>2000557815-U121</x:v>
      </x:c>
      <x:c r="C533" s="16" t="str">
        <x:v>ТРУБА 09Г2С 219*7 ГОСТ10705-80</x:v>
      </x:c>
      <x:c r="D533" s="16" t="str">
        <x:v>Трубы черные сварные малого и среднего диаметра</x:v>
      </x:c>
      <x:c r="E533" s="16" t="str">
        <x:v>Т</x:v>
      </x:c>
      <x:c r="F533" s="29" t="n">
        <x:v>1.207</x:v>
      </x:c>
      <x:c r="G533" s="17" t="n">
        <x:v>75335.1952</x:v>
      </x:c>
      <x:c r="H533" s="17" t="n">
        <x:f>G533*F533</x:f>
        <x:v>90929.5806064</x:v>
      </x:c>
      <x:c r="I533" s="22" t="str">
        <x:f>HYPERLINK("https://etp-aktiv.ru/catalog/materialy/truby-stalnye-i-polimernye/2000557815-U121/","Открыть позицию")</x:f>
        <x:v>Открыть позицию</x:v>
      </x:c>
    </x:row>
    <x:row r="534" ht="28" customHeight="1">
      <x:c r="A534" s="16" t="str">
        <x:v>Кемеровская теплосетевая компания</x:v>
      </x:c>
      <x:c r="B534" s="16" t="str">
        <x:v>2000560178-U121</x:v>
      </x:c>
      <x:c r="C534" s="16" t="str">
        <x:v>ТРУБА 09Г2С 219*7 ГОСТ8731-74</x:v>
      </x:c>
      <x:c r="D534" s="16" t="str">
        <x:v>Трубы прочие</x:v>
      </x:c>
      <x:c r="E534" s="16" t="str">
        <x:v>Т</x:v>
      </x:c>
      <x:c r="F534" s="30" t="n">
        <x:v>0.976</x:v>
      </x:c>
      <x:c r="G534" s="17" t="n">
        <x:v>37743.75</x:v>
      </x:c>
      <x:c r="H534" s="17" t="n">
        <x:f>G534*F534</x:f>
        <x:v>36837.9</x:v>
      </x:c>
      <x:c r="I534" s="22" t="str">
        <x:f>HYPERLINK("https://etp-aktiv.ru/catalog/materialy/truby-stalnye-i-polimernye/2000560178-U121/","Открыть позицию")</x:f>
        <x:v>Открыть позицию</x:v>
      </x:c>
    </x:row>
    <x:row r="535" ht="28" customHeight="1">
      <x:c r="A535" s="16" t="str">
        <x:v>Кемеровская теплосетевая компания</x:v>
      </x:c>
      <x:c r="B535" s="16" t="str">
        <x:v>2000560347-U121</x:v>
      </x:c>
      <x:c r="C535" s="16" t="str">
        <x:v>ТРУБА 09Г2С 219*7 ТУ14-3-1128-00</x:v>
      </x:c>
      <x:c r="D535" s="16" t="str">
        <x:v>Трубы черные бесшовные</x:v>
      </x:c>
      <x:c r="E535" s="16" t="str">
        <x:v>Т</x:v>
      </x:c>
      <x:c r="F535" s="30" t="n">
        <x:v>0.071</x:v>
      </x:c>
      <x:c r="G535" s="17" t="n">
        <x:v>114668.08059999999</x:v>
      </x:c>
      <x:c r="H535" s="17" t="n">
        <x:f>G535*F535</x:f>
        <x:v>8141.433722599998</x:v>
      </x:c>
      <x:c r="I535" s="22" t="str">
        <x:f>HYPERLINK("https://etp-aktiv.ru/catalog/materialy/truby-stalnye-i-polimernye/2000560347-U121/","Открыть позицию")</x:f>
        <x:v>Открыть позицию</x:v>
      </x:c>
    </x:row>
    <x:row r="536" ht="28" customHeight="1">
      <x:c r="A536" s="16" t="str">
        <x:v>Кемеровская теплосетевая компания</x:v>
      </x:c>
      <x:c r="B536" s="16" t="str">
        <x:v>2000260303-U121</x:v>
      </x:c>
      <x:c r="C536" s="16" t="str">
        <x:v>ТРУБА 09Г2С 219*9 ТУ14-159-1128-08</x:v>
      </x:c>
      <x:c r="D536" s="16" t="str">
        <x:v>Трубы черные бесшовные</x:v>
      </x:c>
      <x:c r="E536" s="16" t="str">
        <x:v>Т</x:v>
      </x:c>
      <x:c r="F536" s="30" t="n">
        <x:v>0.094</x:v>
      </x:c>
      <x:c r="G536" s="17" t="n">
        <x:v>117249.66159999999</x:v>
      </x:c>
      <x:c r="H536" s="17" t="n">
        <x:f>G536*F536</x:f>
        <x:v>11021.468190399999</x:v>
      </x:c>
      <x:c r="I536" s="22" t="str">
        <x:f>HYPERLINK("https://etp-aktiv.ru/catalog/materialy/truby-stalnye-i-polimernye/2000260303-U121/","Открыть позицию")</x:f>
        <x:v>Открыть позицию</x:v>
      </x:c>
    </x:row>
    <x:row r="537" ht="28" customHeight="1">
      <x:c r="A537" s="16" t="str">
        <x:v>Кемеровская теплосетевая компания</x:v>
      </x:c>
      <x:c r="B537" s="16" t="str">
        <x:v>2000560504-U121</x:v>
      </x:c>
      <x:c r="C537" s="16" t="str">
        <x:v>ТРУБА 09Г2С 273*8 ГОСТ10705-80</x:v>
      </x:c>
      <x:c r="D537" s="16" t="str">
        <x:v>Трубы черные сварные малого и среднего диаметра</x:v>
      </x:c>
      <x:c r="E537" s="16" t="str">
        <x:v>Т</x:v>
      </x:c>
      <x:c r="F537" s="30" t="n">
        <x:v>0.367</x:v>
      </x:c>
      <x:c r="G537" s="17" t="n">
        <x:v>79076.6424</x:v>
      </x:c>
      <x:c r="H537" s="17" t="n">
        <x:f>G537*F537</x:f>
        <x:v>29021.1277608</x:v>
      </x:c>
      <x:c r="I537" s="22" t="str">
        <x:f>HYPERLINK("https://etp-aktiv.ru/catalog/materialy/truby-stalnye-i-polimernye/2000560504-U121/","Открыть позицию")</x:f>
        <x:v>Открыть позицию</x:v>
      </x:c>
    </x:row>
    <x:row r="538" ht="28" customHeight="1">
      <x:c r="A538" s="16" t="str">
        <x:v>Кемеровская теплосетевая компания</x:v>
      </x:c>
      <x:c r="B538" s="16" t="str">
        <x:v>2000749216-U121</x:v>
      </x:c>
      <x:c r="C538" s="16" t="str">
        <x:v>ТРУБА 09Г2С 32*2,5 ГОСТ8732-78</x:v>
      </x:c>
      <x:c r="D538" s="16" t="str">
        <x:v>Трубы черные бесшовные</x:v>
      </x:c>
      <x:c r="E538" s="16" t="str">
        <x:v>Т</x:v>
      </x:c>
      <x:c r="F538" s="30" t="n">
        <x:v>0.049</x:v>
      </x:c>
      <x:c r="G538" s="17" t="n">
        <x:v>186496.4224</x:v>
      </x:c>
      <x:c r="H538" s="17" t="n">
        <x:f>G538*F538</x:f>
        <x:v>9138.324697600001</x:v>
      </x:c>
      <x:c r="I538" s="22" t="str">
        <x:f>HYPERLINK("https://etp-aktiv.ru/catalog/materialy/truby-stalnye-i-polimernye/2000749216-U121/","Открыть позицию")</x:f>
        <x:v>Открыть позицию</x:v>
      </x:c>
    </x:row>
    <x:row r="539" ht="28" customHeight="1">
      <x:c r="A539" s="16" t="str">
        <x:v>Кемеровская теплосетевая компания</x:v>
      </x:c>
      <x:c r="B539" s="16" t="str">
        <x:v>2000560218-U121</x:v>
      </x:c>
      <x:c r="C539" s="16" t="str">
        <x:v>ТРУБА 09Г2С 32*4 ГОСТ8733-74</x:v>
      </x:c>
      <x:c r="D539" s="16" t="str">
        <x:v>Трубы черные бесшовные</x:v>
      </x:c>
      <x:c r="E539" s="16" t="str">
        <x:v>Т</x:v>
      </x:c>
      <x:c r="F539" s="30" t="n">
        <x:v>0.001</x:v>
      </x:c>
      <x:c r="G539" s="17" t="n">
        <x:v>669780</x:v>
      </x:c>
      <x:c r="H539" s="17" t="n">
        <x:f>G539*F539</x:f>
        <x:v>669.78</x:v>
      </x:c>
      <x:c r="I539" s="22" t="str">
        <x:f>HYPERLINK("https://etp-aktiv.ru/catalog/materialy/truby-stalnye-i-polimernye/2000560218-U121/","Открыть позицию")</x:f>
        <x:v>Открыть позицию</x:v>
      </x:c>
    </x:row>
    <x:row r="540" ht="28" customHeight="1">
      <x:c r="A540" s="16" t="str">
        <x:v>Кемеровская теплосетевая компания</x:v>
      </x:c>
      <x:c r="B540" s="16" t="str">
        <x:v>2000560511-U121</x:v>
      </x:c>
      <x:c r="C540" s="16" t="str">
        <x:v>ТРУБА 09Г2С 325*8 ГОСТ10705-80</x:v>
      </x:c>
      <x:c r="D540" s="16" t="str">
        <x:v>Трубы черные сварные малого и среднего диаметра</x:v>
      </x:c>
      <x:c r="E540" s="16" t="str">
        <x:v>Т</x:v>
      </x:c>
      <x:c r="F540" s="30" t="n">
        <x:v>0.31</x:v>
      </x:c>
      <x:c r="G540" s="17" t="n">
        <x:v>76607.582</x:v>
      </x:c>
      <x:c r="H540" s="17" t="n">
        <x:f>G540*F540</x:f>
        <x:v>23748.35042</x:v>
      </x:c>
      <x:c r="I540" s="22" t="str">
        <x:f>HYPERLINK("https://etp-aktiv.ru/catalog/materialy/truby-stalnye-i-polimernye/2000560511-U121/","Открыть позицию")</x:f>
        <x:v>Открыть позицию</x:v>
      </x:c>
    </x:row>
    <x:row r="541" ht="28" customHeight="1">
      <x:c r="A541" s="16" t="str">
        <x:v>Кемеровская теплосетевая компания</x:v>
      </x:c>
      <x:c r="B541" s="16" t="str">
        <x:v>2000560355-U121</x:v>
      </x:c>
      <x:c r="C541" s="16" t="str">
        <x:v>ТРУБА 09Г2С 377*9 ТУ14-3-1128-00</x:v>
      </x:c>
      <x:c r="D541" s="16" t="str">
        <x:v>Трубы прочие</x:v>
      </x:c>
      <x:c r="E541" s="16" t="str">
        <x:v>Т</x:v>
      </x:c>
      <x:c r="F541" s="29" t="n">
        <x:v>7.335</x:v>
      </x:c>
      <x:c r="G541" s="17" t="n">
        <x:v>35746.231799999994</x:v>
      </x:c>
      <x:c r="H541" s="17" t="n">
        <x:f>G541*F541</x:f>
        <x:v>262198.61025299993</x:v>
      </x:c>
      <x:c r="I541" s="22" t="str">
        <x:f>HYPERLINK("https://etp-aktiv.ru/catalog/materialy/truby-stalnye-i-polimernye/2000560355-U121/","Открыть позицию")</x:f>
        <x:v>Открыть позицию</x:v>
      </x:c>
    </x:row>
    <x:row r="542" ht="28" customHeight="1">
      <x:c r="A542" s="16" t="str">
        <x:v>Кемеровская теплосетевая компания</x:v>
      </x:c>
      <x:c r="B542" s="16" t="str">
        <x:v>2000570110-U121</x:v>
      </x:c>
      <x:c r="C542" s="16" t="str">
        <x:v>ТРУБА 09Г2С 426*10 ГОСТ10705-80</x:v>
      </x:c>
      <x:c r="D542" s="16" t="str">
        <x:v>Трубы черные сварные малого и среднего диаметра</x:v>
      </x:c>
      <x:c r="E542" s="16" t="str">
        <x:v>Т</x:v>
      </x:c>
      <x:c r="F542" s="30" t="n">
        <x:v>0.059</x:v>
      </x:c>
      <x:c r="G542" s="17" t="n">
        <x:v>100650</x:v>
      </x:c>
      <x:c r="H542" s="17" t="n">
        <x:f>G542*F542</x:f>
        <x:v>5938.349999999999</x:v>
      </x:c>
      <x:c r="I542" s="22" t="str">
        <x:f>HYPERLINK("https://etp-aktiv.ru/catalog/materialy/truby-stalnye-i-polimernye/2000570110-U121/","Открыть позицию")</x:f>
        <x:v>Открыть позицию</x:v>
      </x:c>
    </x:row>
    <x:row r="543" ht="28" customHeight="1">
      <x:c r="A543" s="16" t="str">
        <x:v>Кемеровская теплосетевая компания</x:v>
      </x:c>
      <x:c r="B543" s="16" t="str">
        <x:v>2000560585-U121</x:v>
      </x:c>
      <x:c r="C543" s="16" t="str">
        <x:v>ТРУБА 09Г2С 426*9 ГОСТ8731-74</x:v>
      </x:c>
      <x:c r="D543" s="16" t="str">
        <x:v>Трубы большого диаметра</x:v>
      </x:c>
      <x:c r="E543" s="16" t="str">
        <x:v>Т</x:v>
      </x:c>
      <x:c r="F543" s="30" t="n">
        <x:v>0.655</x:v>
      </x:c>
      <x:c r="G543" s="17" t="n">
        <x:v>39745.3186</x:v>
      </x:c>
      <x:c r="H543" s="17" t="n">
        <x:f>G543*F543</x:f>
        <x:v>26033.183683</x:v>
      </x:c>
      <x:c r="I543" s="22" t="str">
        <x:f>HYPERLINK("https://etp-aktiv.ru/catalog/materialy/truby-stalnye-i-polimernye/2000560585-U121/","Открыть позицию")</x:f>
        <x:v>Открыть позицию</x:v>
      </x:c>
    </x:row>
    <x:row r="544" ht="28" customHeight="1">
      <x:c r="A544" s="16" t="str">
        <x:v>Кемеровская теплосетевая компания</x:v>
      </x:c>
      <x:c r="B544" s="16" t="str">
        <x:v>2001023337-U121</x:v>
      </x:c>
      <x:c r="C544" s="16" t="str">
        <x:v>ТРУБА 09Г2С 57*10 ТУ14-3-1128-2000</x:v>
      </x:c>
      <x:c r="D544" s="16" t="str">
        <x:v>@Трубы прочие</x:v>
      </x:c>
      <x:c r="E544" s="16" t="str">
        <x:v>Т</x:v>
      </x:c>
      <x:c r="F544" s="30" t="n">
        <x:v>0.053</x:v>
      </x:c>
      <x:c r="G544" s="17" t="n">
        <x:v>261690</x:v>
      </x:c>
      <x:c r="H544" s="17" t="n">
        <x:f>G544*F544</x:f>
        <x:v>13869.57</x:v>
      </x:c>
      <x:c r="I544" s="22" t="str">
        <x:f>HYPERLINK("https://etp-aktiv.ru/catalog/materialy/truby-stalnye-i-polimernye/2001023337-U121/","Открыть позицию")</x:f>
        <x:v>Открыть позицию</x:v>
      </x:c>
    </x:row>
    <x:row r="545" ht="28" customHeight="1">
      <x:c r="A545" s="16" t="str">
        <x:v>Кемеровская теплосетевая компания</x:v>
      </x:c>
      <x:c r="B545" s="16" t="str">
        <x:v>2000560357-U121</x:v>
      </x:c>
      <x:c r="C545" s="16" t="str">
        <x:v>ТРУБА 09Г2С 57*3 ТУ14-3-1128-00</x:v>
      </x:c>
      <x:c r="D545" s="16" t="str">
        <x:v>Трубы черные бесшовные</x:v>
      </x:c>
      <x:c r="E545" s="16" t="str">
        <x:v>Т</x:v>
      </x:c>
      <x:c r="F545" s="30" t="n">
        <x:v>0.268</x:v>
      </x:c>
      <x:c r="G545" s="17" t="n">
        <x:v>129250.033</x:v>
      </x:c>
      <x:c r="H545" s="17" t="n">
        <x:f>G545*F545</x:f>
        <x:v>34639.008844</x:v>
      </x:c>
      <x:c r="I545" s="22" t="str">
        <x:f>HYPERLINK("https://etp-aktiv.ru/catalog/materialy/truby-stalnye-i-polimernye/2000560357-U121/","Открыть позицию")</x:f>
        <x:v>Открыть позицию</x:v>
      </x:c>
    </x:row>
    <x:row r="546" ht="28" customHeight="1">
      <x:c r="A546" s="16" t="str">
        <x:v>Кемеровская теплосетевая компания</x:v>
      </x:c>
      <x:c r="B546" s="16" t="str">
        <x:v>2000582102-U121</x:v>
      </x:c>
      <x:c r="C546" s="16" t="str">
        <x:v>ТРУБА 09Г2С 57*3,5 ГОСТ10705-80</x:v>
      </x:c>
      <x:c r="D546" s="16" t="str">
        <x:v>Трубы черные сварные малого и среднего диаметра</x:v>
      </x:c>
      <x:c r="E546" s="16" t="str">
        <x:v>Т</x:v>
      </x:c>
      <x:c r="F546" s="30" t="n">
        <x:v>0.039</x:v>
      </x:c>
      <x:c r="G546" s="17" t="n">
        <x:v>62753.8232</x:v>
      </x:c>
      <x:c r="H546" s="17" t="n">
        <x:f>G546*F546</x:f>
        <x:v>2447.3991048</x:v>
      </x:c>
      <x:c r="I546" s="22" t="str">
        <x:f>HYPERLINK("https://etp-aktiv.ru/catalog/materialy/truby-stalnye-i-polimernye/2000582102-U121/","Открыть позицию")</x:f>
        <x:v>Открыть позицию</x:v>
      </x:c>
    </x:row>
    <x:row r="547" ht="28" customHeight="1">
      <x:c r="A547" s="16" t="str">
        <x:v>Кемеровская теплосетевая компания</x:v>
      </x:c>
      <x:c r="B547" s="16" t="str">
        <x:v>2001023336-U121</x:v>
      </x:c>
      <x:c r="C547" s="16" t="str">
        <x:v>ТРУБА 09Г2С 57*8 ТУ14-3-1128-2000</x:v>
      </x:c>
      <x:c r="D547" s="16" t="str">
        <x:v>@Трубы прочие</x:v>
      </x:c>
      <x:c r="E547" s="16" t="str">
        <x:v>Т</x:v>
      </x:c>
      <x:c r="F547" s="30" t="n">
        <x:v>0.077</x:v>
      </x:c>
      <x:c r="G547" s="17" t="n">
        <x:v>311100</x:v>
      </x:c>
      <x:c r="H547" s="17" t="n">
        <x:f>G547*F547</x:f>
        <x:v>23954.7</x:v>
      </x:c>
      <x:c r="I547" s="22" t="str">
        <x:f>HYPERLINK("https://etp-aktiv.ru/catalog/materialy/truby-stalnye-i-polimernye/2001023336-U121/","Открыть позицию")</x:f>
        <x:v>Открыть позицию</x:v>
      </x:c>
    </x:row>
    <x:row r="548" ht="28" customHeight="1">
      <x:c r="A548" s="16" t="str">
        <x:v>Кемеровская теплосетевая компания</x:v>
      </x:c>
      <x:c r="B548" s="16" t="str">
        <x:v>2000560541-U121</x:v>
      </x:c>
      <x:c r="C548" s="16" t="str">
        <x:v>ТРУБА 09Г2С 720*8 ГОСТ10705-80</x:v>
      </x:c>
      <x:c r="D548" s="16" t="str">
        <x:v>@Трубы прочие</x:v>
      </x:c>
      <x:c r="E548" s="16" t="str">
        <x:v>Т</x:v>
      </x:c>
      <x:c r="F548" s="30" t="n">
        <x:v>0.036</x:v>
      </x:c>
      <x:c r="G548" s="17" t="n">
        <x:v>98089.78120000001</x:v>
      </x:c>
      <x:c r="H548" s="17" t="n">
        <x:f>G548*F548</x:f>
        <x:v>3531.2321232000004</x:v>
      </x:c>
      <x:c r="I548" s="22" t="str">
        <x:f>HYPERLINK("https://etp-aktiv.ru/catalog/materialy/truby-stalnye-i-polimernye/2000560541-U121/","Открыть позицию")</x:f>
        <x:v>Открыть позицию</x:v>
      </x:c>
    </x:row>
    <x:row r="549" ht="28" customHeight="1">
      <x:c r="A549" s="16" t="str">
        <x:v>Кемеровская теплосетевая компания</x:v>
      </x:c>
      <x:c r="B549" s="16" t="str">
        <x:v>2000604990-U121</x:v>
      </x:c>
      <x:c r="C549" s="16" t="str">
        <x:v>ТРУБА 09Г2С 76*3 ГОСТ10705-80</x:v>
      </x:c>
      <x:c r="D549" s="16" t="str">
        <x:v>Трубы черные сварные малого и среднего диаметра</x:v>
      </x:c>
      <x:c r="E549" s="16" t="str">
        <x:v>Т</x:v>
      </x:c>
      <x:c r="F549" s="30" t="n">
        <x:v>0.001</x:v>
      </x:c>
      <x:c r="G549" s="17" t="n">
        <x:v>66642.5</x:v>
      </x:c>
      <x:c r="H549" s="17" t="n">
        <x:f>G549*F549</x:f>
        <x:v>66.6425</x:v>
      </x:c>
      <x:c r="I549" s="22" t="str">
        <x:f>HYPERLINK("https://etp-aktiv.ru/catalog/materialy/truby-stalnye-i-polimernye/2000604990-U121/","Открыть позицию")</x:f>
        <x:v>Открыть позицию</x:v>
      </x:c>
    </x:row>
    <x:row r="550" ht="28" customHeight="1">
      <x:c r="A550" s="16" t="str">
        <x:v>Кемеровская теплосетевая компания</x:v>
      </x:c>
      <x:c r="B550" s="16" t="str">
        <x:v>2000560305-U121</x:v>
      </x:c>
      <x:c r="C550" s="16" t="str">
        <x:v>ТРУБА 09Г2С 89*4 ГОСТ8731-74</x:v>
      </x:c>
      <x:c r="D550" s="16" t="str">
        <x:v>Трубы черные бесшовные</x:v>
      </x:c>
      <x:c r="E550" s="16" t="str">
        <x:v>Т</x:v>
      </x:c>
      <x:c r="F550" s="30" t="n">
        <x:v>0.002</x:v>
      </x:c>
      <x:c r="G550" s="17" t="n">
        <x:v>136485.975</x:v>
      </x:c>
      <x:c r="H550" s="17" t="n">
        <x:f>G550*F550</x:f>
        <x:v>272.97195</x:v>
      </x:c>
      <x:c r="I550" s="22" t="str">
        <x:f>HYPERLINK("https://etp-aktiv.ru/catalog/materialy/truby-stalnye-i-polimernye/2000560305-U121/","Открыть позицию")</x:f>
        <x:v>Открыть позицию</x:v>
      </x:c>
    </x:row>
    <x:row r="551" ht="28" customHeight="1">
      <x:c r="A551" s="16" t="str">
        <x:v>Кемеровская теплосетевая компания</x:v>
      </x:c>
      <x:c r="B551" s="16" t="str">
        <x:v>2001023335-U121</x:v>
      </x:c>
      <x:c r="C551" s="16" t="str">
        <x:v>ТРУБА 09Г2С 89*9 ТУ14-3-1128-2000</x:v>
      </x:c>
      <x:c r="D551" s="16" t="str">
        <x:v>@Трубы прочие</x:v>
      </x:c>
      <x:c r="E551" s="16" t="str">
        <x:v>Т</x:v>
      </x:c>
      <x:c r="F551" s="30" t="n">
        <x:v>0.11</x:v>
      </x:c>
      <x:c r="G551" s="17" t="n">
        <x:v>249795</x:v>
      </x:c>
      <x:c r="H551" s="17" t="n">
        <x:f>G551*F551</x:f>
        <x:v>27477.45</x:v>
      </x:c>
      <x:c r="I551" s="22" t="str">
        <x:f>HYPERLINK("https://etp-aktiv.ru/catalog/materialy/truby-stalnye-i-polimernye/2001023335-U121/","Открыть позицию")</x:f>
        <x:v>Открыть позицию</x:v>
      </x:c>
    </x:row>
    <x:row r="552" ht="28" customHeight="1">
      <x:c r="A552" s="16" t="str">
        <x:v>Кемеровская теплосетевая компания</x:v>
      </x:c>
      <x:c r="B552" s="16" t="str">
        <x:v>2000629943-U121</x:v>
      </x:c>
      <x:c r="C552" s="16" t="str">
        <x:v>ТРУБА 10Г2 57*4 ГОСТ8734-75/В-10Г2</x:v>
      </x:c>
      <x:c r="D552" s="16" t="str">
        <x:v>Трубы черные бесшовные</x:v>
      </x:c>
      <x:c r="E552" s="16" t="str">
        <x:v>Т</x:v>
      </x:c>
      <x:c r="F552" s="30" t="n">
        <x:v>0.026</x:v>
      </x:c>
      <x:c r="G552" s="17" t="n">
        <x:v>136487.5244</x:v>
      </x:c>
      <x:c r="H552" s="17" t="n">
        <x:f>G552*F552</x:f>
        <x:v>3548.6756343999996</x:v>
      </x:c>
      <x:c r="I552" s="22" t="str">
        <x:f>HYPERLINK("https://etp-aktiv.ru/catalog/materialy/truby-stalnye-i-polimernye/2000629943-U121/","Открыть позицию")</x:f>
        <x:v>Открыть позицию</x:v>
      </x:c>
    </x:row>
    <x:row r="553" ht="28" customHeight="1">
      <x:c r="A553" s="16" t="str">
        <x:v>Кемеровская теплосетевая компания</x:v>
      </x:c>
      <x:c r="B553" s="16" t="str">
        <x:v>2000559602-U121</x:v>
      </x:c>
      <x:c r="C553" s="16" t="str">
        <x:v>ТРУБА 133*5 ГОСТ8732 СТ20 1-ППУ-ПЭ 30732</x:v>
      </x:c>
      <x:c r="D553" s="16" t="str">
        <x:v>Трубы и элементы трубопроводов теплоизолиров и футерованных</x:v>
      </x:c>
      <x:c r="E553" s="16" t="str">
        <x:v>М</x:v>
      </x:c>
      <x:c r="F553" s="29" t="n">
        <x:v>22.4</x:v>
      </x:c>
      <x:c r="G553" s="17" t="n">
        <x:v>3984.1906</x:v>
      </x:c>
      <x:c r="H553" s="17" t="n">
        <x:f>G553*F553</x:f>
        <x:v>89245.86944</x:v>
      </x:c>
      <x:c r="I553" s="22" t="str">
        <x:f>HYPERLINK("https://etp-aktiv.ru/catalog/materialy/truboprovody/2000559602-U121/","Открыть позицию")</x:f>
        <x:v>Открыть позицию</x:v>
      </x:c>
    </x:row>
    <x:row r="554" ht="28" customHeight="1">
      <x:c r="A554" s="16" t="str">
        <x:v>Кемеровская теплосетевая компания</x:v>
      </x:c>
      <x:c r="B554" s="16" t="str">
        <x:v>2000710504-U121</x:v>
      </x:c>
      <x:c r="C554" s="16" t="str">
        <x:v>ТРУБА 17Г1С 1420*14 ГОСТ10706-76</x:v>
      </x:c>
      <x:c r="D554" s="16" t="str">
        <x:v>Трубы черные сварные большого диаметра</x:v>
      </x:c>
      <x:c r="E554" s="16" t="str">
        <x:v>Т</x:v>
      </x:c>
      <x:c r="F554" s="29" t="n">
        <x:v>2.11</x:v>
      </x:c>
      <x:c r="G554" s="17" t="n">
        <x:v>54231.1106</x:v>
      </x:c>
      <x:c r="H554" s="17" t="n">
        <x:f>G554*F554</x:f>
        <x:v>114427.64336599999</x:v>
      </x:c>
      <x:c r="I554" s="22" t="str">
        <x:f>HYPERLINK("https://etp-aktiv.ru/catalog/materialy/truby-stalnye-i-polimernye/2000710504-U121/","Открыть позицию")</x:f>
        <x:v>Открыть позицию</x:v>
      </x:c>
    </x:row>
    <x:row r="555" ht="28" customHeight="1">
      <x:c r="A555" s="16" t="str">
        <x:v>Кемеровская теплосетевая компания</x:v>
      </x:c>
      <x:c r="B555" s="16" t="str">
        <x:v>2001028263-U121</x:v>
      </x:c>
      <x:c r="C555" s="16" t="str">
        <x:v>ТРУБА 17Г1С 530*9/710К52 1-ППУ-ПЭ Г30732</x:v>
      </x:c>
      <x:c r="D555" s="16" t="str">
        <x:v>Трубы и элементы трубопроводов теплоизолиров и футерованных</x:v>
      </x:c>
      <x:c r="E555" s="16" t="str">
        <x:v>М</x:v>
      </x:c>
      <x:c r="F555" s="29" t="n">
        <x:v>1.53</x:v>
      </x:c>
      <x:c r="G555" s="17" t="n">
        <x:v>18112.425</x:v>
      </x:c>
      <x:c r="H555" s="17" t="n">
        <x:f>G555*F555</x:f>
        <x:v>27712.01025</x:v>
      </x:c>
      <x:c r="I555" s="22" t="str">
        <x:f>HYPERLINK("https://etp-aktiv.ru/catalog/materialy/truboprovody/2001028263-U121/","Открыть позицию")</x:f>
        <x:v>Открыть позицию</x:v>
      </x:c>
    </x:row>
    <x:row r="556" ht="28" customHeight="1">
      <x:c r="A556" s="16" t="str">
        <x:v>Кемеровская теплосетевая компания</x:v>
      </x:c>
      <x:c r="B556" s="16" t="str">
        <x:v>2000343187-U121</x:v>
      </x:c>
      <x:c r="C556" s="16" t="str">
        <x:v>ТРУБА 17Г1С 720*10 ГОСТ20295-85</x:v>
      </x:c>
      <x:c r="D556" s="16" t="str">
        <x:v>Трубы черные сварные большого диаметра</x:v>
      </x:c>
      <x:c r="E556" s="16" t="str">
        <x:v>Т</x:v>
      </x:c>
      <x:c r="F556" s="30" t="n">
        <x:v>0.438</x:v>
      </x:c>
      <x:c r="G556" s="17" t="n">
        <x:v>94017.6652</x:v>
      </x:c>
      <x:c r="H556" s="17" t="n">
        <x:f>G556*F556</x:f>
        <x:v>41179.7373576</x:v>
      </x:c>
      <x:c r="I556" s="22" t="str">
        <x:f>HYPERLINK("https://etp-aktiv.ru/catalog/materialy/truby-stalnye-i-polimernye/2000343187-U121/","Открыть позицию")</x:f>
        <x:v>Открыть позицию</x:v>
      </x:c>
    </x:row>
    <x:row r="557" ht="28" customHeight="1">
      <x:c r="A557" s="16" t="str">
        <x:v>Кемеровская теплосетевая компания</x:v>
      </x:c>
      <x:c r="B557" s="16" t="str">
        <x:v>2000560606-U121</x:v>
      </x:c>
      <x:c r="C557" s="16" t="str">
        <x:v>ТРУБА 17Г1С 720*8 ГОСТ20295-85</x:v>
      </x:c>
      <x:c r="D557" s="16" t="str">
        <x:v>Трубы черные сварные большого диаметра</x:v>
      </x:c>
      <x:c r="E557" s="16" t="str">
        <x:v>Т</x:v>
      </x:c>
      <x:c r="F557" s="30" t="n">
        <x:v>0.324</x:v>
      </x:c>
      <x:c r="G557" s="17" t="n">
        <x:v>97752.5</x:v>
      </x:c>
      <x:c r="H557" s="17" t="n">
        <x:f>G557*F557</x:f>
        <x:v>31671.81</x:v>
      </x:c>
      <x:c r="I557" s="22" t="str">
        <x:f>HYPERLINK("https://etp-aktiv.ru/catalog/materialy/truby-stalnye-i-polimernye/2000560606-U121/","Открыть позицию")</x:f>
        <x:v>Открыть позицию</x:v>
      </x:c>
    </x:row>
    <x:row r="558" ht="28" customHeight="1">
      <x:c r="A558" s="16" t="str">
        <x:v>Кемеровская теплосетевая компания</x:v>
      </x:c>
      <x:c r="B558" s="16" t="str">
        <x:v>2000145254-U121</x:v>
      </x:c>
      <x:c r="C558" s="16" t="str">
        <x:v>ТРУБА 17Г1С 720*9 ГОСТ20295-85</x:v>
      </x:c>
      <x:c r="D558" s="16" t="str">
        <x:v>Трубы черные сварные большого диаметра</x:v>
      </x:c>
      <x:c r="E558" s="16" t="str">
        <x:v>Т</x:v>
      </x:c>
      <x:c r="F558" s="29" t="n">
        <x:v>1.357</x:v>
      </x:c>
      <x:c r="G558" s="17" t="n">
        <x:v>96075</x:v>
      </x:c>
      <x:c r="H558" s="17" t="n">
        <x:f>G558*F558</x:f>
        <x:v>130373.775</x:v>
      </x:c>
      <x:c r="I558" s="22" t="str">
        <x:f>HYPERLINK("https://etp-aktiv.ru/catalog/materialy/truby-stalnye-i-polimernye/2000145254-U121/","Открыть позицию")</x:f>
        <x:v>Открыть позицию</x:v>
      </x:c>
    </x:row>
    <x:row r="559" ht="28" customHeight="1">
      <x:c r="A559" s="16" t="str">
        <x:v>Кемеровская теплосетевая компания</x:v>
      </x:c>
      <x:c r="B559" s="16" t="str">
        <x:v>2000560610-U121</x:v>
      </x:c>
      <x:c r="C559" s="16" t="str">
        <x:v>ТРУБА 17Г1С 820*10 ГОСТ20295-85</x:v>
      </x:c>
      <x:c r="D559" s="16" t="str">
        <x:v>Трубы черные сварные большого диаметра</x:v>
      </x:c>
      <x:c r="E559" s="16" t="str">
        <x:v>Т</x:v>
      </x:c>
      <x:c r="F559" s="30" t="n">
        <x:v>0.604</x:v>
      </x:c>
      <x:c r="G559" s="17" t="n">
        <x:v>97606.51479999999</x:v>
      </x:c>
      <x:c r="H559" s="17" t="n">
        <x:f>G559*F559</x:f>
        <x:v>58954.334939199995</x:v>
      </x:c>
      <x:c r="I559" s="22" t="str">
        <x:f>HYPERLINK("https://etp-aktiv.ru/catalog/materialy/truby-stalnye-i-polimernye/2000560610-U121/","Открыть позицию")</x:f>
        <x:v>Открыть позицию</x:v>
      </x:c>
    </x:row>
    <x:row r="560" ht="28" customHeight="1">
      <x:c r="A560" s="16" t="str">
        <x:v>Кемеровская теплосетевая компания</x:v>
      </x:c>
      <x:c r="B560" s="16" t="str">
        <x:v>2000624953-U121</x:v>
      </x:c>
      <x:c r="C560" s="16" t="str">
        <x:v>ТРУБА 17Г1С 820*8 ГОСТ10705</x:v>
      </x:c>
      <x:c r="D560" s="16" t="str">
        <x:v>Трубы черные сварные большого диаметра</x:v>
      </x:c>
      <x:c r="E560" s="16" t="str">
        <x:v>Т</x:v>
      </x:c>
      <x:c r="F560" s="29" t="n">
        <x:v>2.185</x:v>
      </x:c>
      <x:c r="G560" s="17" t="n">
        <x:v>100377.4032</x:v>
      </x:c>
      <x:c r="H560" s="17" t="n">
        <x:f>G560*F560</x:f>
        <x:v>219324.62599200002</x:v>
      </x:c>
      <x:c r="I560" s="22" t="str">
        <x:f>HYPERLINK("https://etp-aktiv.ru/catalog/materialy/truby-stalnye-i-polimernye/2000624953-U121/","Открыть позицию")</x:f>
        <x:v>Открыть позицию</x:v>
      </x:c>
    </x:row>
    <x:row r="561" ht="28" customHeight="1">
      <x:c r="A561" s="16" t="str">
        <x:v>Кемеровская теплосетевая компания</x:v>
      </x:c>
      <x:c r="B561" s="16" t="str">
        <x:v>2000570098-U121</x:v>
      </x:c>
      <x:c r="C561" s="16" t="str">
        <x:v>ТРУБА 17Г1С-У 1420*14 ГОСТ20295-85</x:v>
      </x:c>
      <x:c r="D561" s="16" t="str">
        <x:v>Трубы черные сварные большого диаметра</x:v>
      </x:c>
      <x:c r="E561" s="16" t="str">
        <x:v>Т</x:v>
      </x:c>
      <x:c r="F561" s="29" t="n">
        <x:v>9.079</x:v>
      </x:c>
      <x:c r="G561" s="17" t="n">
        <x:v>96739.64379999999</x:v>
      </x:c>
      <x:c r="H561" s="17" t="n">
        <x:f>G561*F561</x:f>
        <x:v>878299.2260602</x:v>
      </x:c>
      <x:c r="I561" s="22" t="str">
        <x:f>HYPERLINK("https://etp-aktiv.ru/catalog/materialy/truby-stalnye-i-polimernye/2000570098-U121/","Открыть позицию")</x:f>
        <x:v>Открыть позицию</x:v>
      </x:c>
    </x:row>
    <x:row r="562" ht="28" customHeight="1">
      <x:c r="A562" s="16" t="str">
        <x:v>Кемеровская теплосетевая компания</x:v>
      </x:c>
      <x:c r="B562" s="16" t="str">
        <x:v>2000559606-U121</x:v>
      </x:c>
      <x:c r="C562" s="16" t="str">
        <x:v>ТРУБА 377*10-К48 09Г2С ППМИ60 ГОСТ56227</x:v>
      </x:c>
      <x:c r="D562" s="16" t="str">
        <x:v>Трубы и элементы трубопроводов теплоизолиров и футерованных</x:v>
      </x:c>
      <x:c r="E562" s="16" t="str">
        <x:v>Т</x:v>
      </x:c>
      <x:c r="F562" s="30" t="n">
        <x:v>0.381</x:v>
      </x:c>
      <x:c r="G562" s="17" t="n">
        <x:v>97600</x:v>
      </x:c>
      <x:c r="H562" s="17" t="n">
        <x:f>G562*F562</x:f>
        <x:v>37185.6</x:v>
      </x:c>
      <x:c r="I562" s="22" t="str">
        <x:f>HYPERLINK("https://etp-aktiv.ru/catalog/materialy/truboprovody/2000559606-U121/","Открыть позицию")</x:f>
        <x:v>Открыть позицию</x:v>
      </x:c>
    </x:row>
    <x:row r="563" ht="28" customHeight="1">
      <x:c r="A563" s="16" t="str">
        <x:v>Кемеровская теплосетевая компания</x:v>
      </x:c>
      <x:c r="B563" s="16" t="str">
        <x:v>2000972514-U121</x:v>
      </x:c>
      <x:c r="C563" s="16" t="str">
        <x:v>ТРУБА 7°30Б530*8-200-1,6 ТС-583.001-026</x:v>
      </x:c>
      <x:c r="D563" s="16" t="str">
        <x:v>Детали фасонные</x:v>
      </x:c>
      <x:c r="E563" s="16" t="str">
        <x:v>ШТ</x:v>
      </x:c>
      <x:c r="F563" s="21" t="n">
        <x:v>4</x:v>
      </x:c>
      <x:c r="G563" s="17" t="n">
        <x:v>7320</x:v>
      </x:c>
      <x:c r="H563" s="17" t="n">
        <x:f>G563*F563</x:f>
        <x:v>29280</x:v>
      </x:c>
      <x:c r="I563" s="22" t="str">
        <x:f>HYPERLINK("https://etp-aktiv.ru/catalog/materialy/truboprovody/2000972514-U121/","Открыть позицию")</x:f>
        <x:v>Открыть позицию</x:v>
      </x:c>
    </x:row>
    <x:row r="564" ht="28" customHeight="1">
      <x:c r="A564" s="16" t="str">
        <x:v>Кемеровская теплосетевая компания</x:v>
      </x:c>
      <x:c r="B564" s="16" t="str">
        <x:v>2000972552-U121</x:v>
      </x:c>
      <x:c r="C564" s="16" t="str">
        <x:v>ТРУБА 7°30Б530*8-500-1,6 ТС-583.001-026</x:v>
      </x:c>
      <x:c r="D564" s="16" t="str">
        <x:v>Детали фасонные</x:v>
      </x:c>
      <x:c r="E564" s="16" t="str">
        <x:v>ШТ</x:v>
      </x:c>
      <x:c r="F564" s="21" t="n">
        <x:v>2</x:v>
      </x:c>
      <x:c r="G564" s="17" t="n">
        <x:v>9145.425</x:v>
      </x:c>
      <x:c r="H564" s="17" t="n">
        <x:f>G564*F564</x:f>
        <x:v>18290.85</x:v>
      </x:c>
      <x:c r="I564" s="22" t="str">
        <x:f>HYPERLINK("https://etp-aktiv.ru/catalog/materialy/truboprovody/2000972552-U121/","Открыть позицию")</x:f>
        <x:v>Открыть позицию</x:v>
      </x:c>
    </x:row>
    <x:row r="565" ht="28" customHeight="1">
      <x:c r="A565" s="16" t="str">
        <x:v>Кемеровская теплосетевая компания</x:v>
      </x:c>
      <x:c r="B565" s="16" t="str">
        <x:v>2000798014-U121</x:v>
      </x:c>
      <x:c r="C565" s="16" t="str">
        <x:v>ТРУБА Б/Ш 09Г2С 159*5 ГОСТ8732-78</x:v>
      </x:c>
      <x:c r="D565" s="16" t="str">
        <x:v>Трубы черные бесшовные</x:v>
      </x:c>
      <x:c r="E565" s="16" t="str">
        <x:v>Т</x:v>
      </x:c>
      <x:c r="F565" s="30" t="n">
        <x:v>0.039</x:v>
      </x:c>
      <x:c r="G565" s="17" t="n">
        <x:v>108838.762</x:v>
      </x:c>
      <x:c r="H565" s="17" t="n">
        <x:f>G565*F565</x:f>
        <x:v>4244.7117180000005</x:v>
      </x:c>
      <x:c r="I565" s="22" t="str">
        <x:f>HYPERLINK("https://etp-aktiv.ru/catalog/materialy/truby-stalnye-i-polimernye/2000798014-U121/","Открыть позицию")</x:f>
        <x:v>Открыть позицию</x:v>
      </x:c>
    </x:row>
    <x:row r="566" ht="28" customHeight="1">
      <x:c r="A566" s="16" t="str">
        <x:v>Кемеровская теплосетевая компания</x:v>
      </x:c>
      <x:c r="B566" s="16" t="str">
        <x:v>M2000149777-U121</x:v>
      </x:c>
      <x:c r="C566" s="16" t="str">
        <x:v>ТРУБА Б/Ш 09Г2С Г/Д 325*8 ГОСТ8732-78</x:v>
      </x:c>
      <x:c r="D566" s="16" t="str">
        <x:v>Трубы черные бесшовные</x:v>
      </x:c>
      <x:c r="E566" s="16" t="str">
        <x:v>Т</x:v>
      </x:c>
      <x:c r="F566" s="29" t="n">
        <x:v>5.888</x:v>
      </x:c>
      <x:c r="G566" s="17" t="n">
        <x:v>100234.5778</x:v>
      </x:c>
      <x:c r="H566" s="17" t="n">
        <x:f>G566*F566</x:f>
        <x:v>590181.1940864</x:v>
      </x:c>
      <x:c r="I566" s="22" t="str">
        <x:f>HYPERLINK("https://etp-aktiv.ru/catalog/materialy/truby-stalnye-i-polimernye/M2000149777-U121/","Открыть позицию")</x:f>
        <x:v>Открыть позицию</x:v>
      </x:c>
    </x:row>
    <x:row r="567" ht="28" customHeight="1">
      <x:c r="A567" s="16" t="str">
        <x:v>Кемеровская теплосетевая компания</x:v>
      </x:c>
      <x:c r="B567" s="16" t="str">
        <x:v>2000238855-U121</x:v>
      </x:c>
      <x:c r="C567" s="16" t="str">
        <x:v>ТРУБА Б/Ш 09Г2С Г/Д 377*10 ГОСТ8732-78</x:v>
      </x:c>
      <x:c r="D567" s="16" t="str">
        <x:v>Трубы прочие</x:v>
      </x:c>
      <x:c r="E567" s="16" t="str">
        <x:v>Т</x:v>
      </x:c>
      <x:c r="F567" s="30" t="n">
        <x:v>0.691</x:v>
      </x:c>
      <x:c r="G567" s="17" t="n">
        <x:v>19352.2744</x:v>
      </x:c>
      <x:c r="H567" s="17" t="n">
        <x:f>G567*F567</x:f>
        <x:v>13372.421610399997</x:v>
      </x:c>
      <x:c r="I567" s="22" t="str">
        <x:f>HYPERLINK("https://etp-aktiv.ru/catalog/materialy/truby-stalnye-i-polimernye/2000238855-U121/","Открыть позицию")</x:f>
        <x:v>Открыть позицию</x:v>
      </x:c>
    </x:row>
    <x:row r="568" ht="28" customHeight="1">
      <x:c r="A568" s="16" t="str">
        <x:v>Кемеровская теплосетевая компания</x:v>
      </x:c>
      <x:c r="B568" s="16" t="str">
        <x:v>2000239964-U121</x:v>
      </x:c>
      <x:c r="C568" s="16" t="str">
        <x:v>ТРУБА Б/Ш 09Г2С Г/Д 57*3,5 ГОСТ8732-78</x:v>
      </x:c>
      <x:c r="D568" s="16" t="str">
        <x:v>Трубы черные бесшовные</x:v>
      </x:c>
      <x:c r="E568" s="16" t="str">
        <x:v>Т</x:v>
      </x:c>
      <x:c r="F568" s="30" t="n">
        <x:v>0.079</x:v>
      </x:c>
      <x:c r="G568" s="17" t="n">
        <x:v>104673.1086</x:v>
      </x:c>
      <x:c r="H568" s="17" t="n">
        <x:f>G568*F568</x:f>
        <x:v>8269.1755794</x:v>
      </x:c>
      <x:c r="I568" s="22" t="str">
        <x:f>HYPERLINK("https://etp-aktiv.ru/catalog/materialy/truby-stalnye-i-polimernye/2000239964-U121/","Открыть позицию")</x:f>
        <x:v>Открыть позицию</x:v>
      </x:c>
    </x:row>
    <x:row r="569" ht="28" customHeight="1">
      <x:c r="A569" s="16" t="str">
        <x:v>Кемеровская теплосетевая компания</x:v>
      </x:c>
      <x:c r="B569" s="16" t="str">
        <x:v>2000479395-U121</x:v>
      </x:c>
      <x:c r="C569" s="16" t="str">
        <x:v>ТРУБА Б/Ш СТ20 273*7 ГОСТ8732-78</x:v>
      </x:c>
      <x:c r="D569" s="16" t="str">
        <x:v>Трубы черные бесшовные</x:v>
      </x:c>
      <x:c r="E569" s="16" t="str">
        <x:v>Т</x:v>
      </x:c>
      <x:c r="F569" s="30" t="n">
        <x:v>0.55</x:v>
      </x:c>
      <x:c r="G569" s="17" t="n">
        <x:v>120422.8816</x:v>
      </x:c>
      <x:c r="H569" s="17" t="n">
        <x:f>G569*F569</x:f>
        <x:v>66232.58488</x:v>
      </x:c>
      <x:c r="I569" s="22" t="str">
        <x:f>HYPERLINK("https://etp-aktiv.ru/catalog/materialy/truby-stalnye-i-polimernye/2000479395-U121/","Открыть позицию")</x:f>
        <x:v>Открыть позицию</x:v>
      </x:c>
    </x:row>
    <x:row r="570" ht="28" customHeight="1">
      <x:c r="A570" s="16" t="str">
        <x:v>Кемеровская теплосетевая компания</x:v>
      </x:c>
      <x:c r="B570" s="16" t="str">
        <x:v>2000649734-U121</x:v>
      </x:c>
      <x:c r="C570" s="16" t="str">
        <x:v>ТРУБА Б/Ш СТ20 Г/Д 133*4 ГОСТ8732-78</x:v>
      </x:c>
      <x:c r="D570" s="16" t="str">
        <x:v>Трубы черные бесшовные</x:v>
      </x:c>
      <x:c r="E570" s="16" t="str">
        <x:v>Т</x:v>
      </x:c>
      <x:c r="F570" s="30" t="n">
        <x:v>0.064</x:v>
      </x:c>
      <x:c r="G570" s="17" t="n">
        <x:v>72056.25</x:v>
      </x:c>
      <x:c r="H570" s="17" t="n">
        <x:f>G570*F570</x:f>
        <x:v>4611.6</x:v>
      </x:c>
      <x:c r="I570" s="22" t="str">
        <x:f>HYPERLINK("https://etp-aktiv.ru/catalog/materialy/truby-stalnye-i-polimernye/2000649734-U121/","Открыть позицию")</x:f>
        <x:v>Открыть позицию</x:v>
      </x:c>
    </x:row>
    <x:row r="571" ht="28" customHeight="1">
      <x:c r="A571" s="16" t="str">
        <x:v>Кемеровская теплосетевая компания</x:v>
      </x:c>
      <x:c r="B571" s="16" t="str">
        <x:v>2000140832-U121</x:v>
      </x:c>
      <x:c r="C571" s="16" t="str">
        <x:v>ТРУБА Б/Ш СТ20 Г/Д 219*7 ГОСТ8732-78</x:v>
      </x:c>
      <x:c r="D571" s="16" t="str">
        <x:v>Трубы черные бесшовные</x:v>
      </x:c>
      <x:c r="E571" s="16" t="str">
        <x:v>Т</x:v>
      </x:c>
      <x:c r="F571" s="30" t="n">
        <x:v>0.087</x:v>
      </x:c>
      <x:c r="G571" s="17" t="n">
        <x:v>107248.41879999998</x:v>
      </x:c>
      <x:c r="H571" s="17" t="n">
        <x:f>G571*F571</x:f>
        <x:v>9330.612435599998</x:v>
      </x:c>
      <x:c r="I571" s="22" t="str">
        <x:f>HYPERLINK("https://etp-aktiv.ru/catalog/materialy/truby-stalnye-i-polimernye/2000140832-U121/","Открыть позицию")</x:f>
        <x:v>Открыть позицию</x:v>
      </x:c>
    </x:row>
    <x:row r="572" ht="28" customHeight="1">
      <x:c r="A572" s="16" t="str">
        <x:v>Кемеровская теплосетевая компания</x:v>
      </x:c>
      <x:c r="B572" s="16" t="str">
        <x:v>2000233603-U121</x:v>
      </x:c>
      <x:c r="C572" s="16" t="str">
        <x:v>ТРУБА Б/Ш СТ20 Г/Д 57*3,5 ГОСТ8732-78</x:v>
      </x:c>
      <x:c r="D572" s="16" t="str">
        <x:v>Трубы черные бесшовные</x:v>
      </x:c>
      <x:c r="E572" s="16" t="str">
        <x:v>Т</x:v>
      </x:c>
      <x:c r="F572" s="30" t="n">
        <x:v>0.159</x:v>
      </x:c>
      <x:c r="G572" s="17" t="n">
        <x:v>124650.5964</x:v>
      </x:c>
      <x:c r="H572" s="17" t="n">
        <x:f>G572*F572</x:f>
        <x:v>19819.4448276</x:v>
      </x:c>
      <x:c r="I572" s="22" t="str">
        <x:f>HYPERLINK("https://etp-aktiv.ru/catalog/materialy/truby-stalnye-i-polimernye/2000233603-U121/","Открыть позицию")</x:f>
        <x:v>Открыть позицию</x:v>
      </x:c>
    </x:row>
    <x:row r="573" ht="28" customHeight="1">
      <x:c r="A573" s="16" t="str">
        <x:v>Кемеровская теплосетевая компания</x:v>
      </x:c>
      <x:c r="B573" s="16" t="str">
        <x:v>2000719989-U121</x:v>
      </x:c>
      <x:c r="C573" s="16" t="str">
        <x:v>ТРУБА Б/Ш СТ20 Х/Д 57*4 ГОСТ8734-75</x:v>
      </x:c>
      <x:c r="D573" s="16" t="str">
        <x:v>Трубы черные бесшовные</x:v>
      </x:c>
      <x:c r="E573" s="16" t="str">
        <x:v>Т</x:v>
      </x:c>
      <x:c r="F573" s="30" t="n">
        <x:v>0.364</x:v>
      </x:c>
      <x:c r="G573" s="17" t="n">
        <x:v>137250</x:v>
      </x:c>
      <x:c r="H573" s="17" t="n">
        <x:f>G573*F573</x:f>
        <x:v>49959</x:v>
      </x:c>
      <x:c r="I573" s="22" t="str">
        <x:f>HYPERLINK("https://etp-aktiv.ru/catalog/materialy/truby-stalnye-i-polimernye/2000719989-U121/","Открыть позицию")</x:f>
        <x:v>Открыть позицию</x:v>
      </x:c>
    </x:row>
    <x:row r="574" ht="28" customHeight="1">
      <x:c r="A574" s="16" t="str">
        <x:v>Кемеровская теплосетевая компания</x:v>
      </x:c>
      <x:c r="B574" s="16" t="str">
        <x:v>2000566582-U121</x:v>
      </x:c>
      <x:c r="C574" s="16" t="str">
        <x:v>ТРУБА В-20 45*2,5 ГОСТ8731-74</x:v>
      </x:c>
      <x:c r="D574" s="16" t="str">
        <x:v>Трубы черные бесшовные</x:v>
      </x:c>
      <x:c r="E574" s="16" t="str">
        <x:v>Т</x:v>
      </x:c>
      <x:c r="F574" s="30" t="n">
        <x:v>0.242</x:v>
      </x:c>
      <x:c r="G574" s="17" t="n">
        <x:v>279426.7016</x:v>
      </x:c>
      <x:c r="H574" s="17" t="n">
        <x:f>G574*F574</x:f>
        <x:v>67621.2617872</x:v>
      </x:c>
      <x:c r="I574" s="22" t="str">
        <x:f>HYPERLINK("https://etp-aktiv.ru/catalog/materialy/truby-stalnye-i-polimernye/2000566582-U121/","Открыть позицию")</x:f>
        <x:v>Открыть позицию</x:v>
      </x:c>
    </x:row>
    <x:row r="575" ht="28" customHeight="1">
      <x:c r="A575" s="16" t="str">
        <x:v>Кемеровская теплосетевая компания</x:v>
      </x:c>
      <x:c r="B575" s="16" t="str">
        <x:v>2000570113-U121</x:v>
      </x:c>
      <x:c r="C575" s="16" t="str">
        <x:v>ТРУБА В-СТ09Г2С 426*10 ГОСТ8731-74</x:v>
      </x:c>
      <x:c r="D575" s="16" t="str">
        <x:v>Трубы черные бесшовные</x:v>
      </x:c>
      <x:c r="E575" s="16" t="str">
        <x:v>Т</x:v>
      </x:c>
      <x:c r="F575" s="29" t="n">
        <x:v>2.342</x:v>
      </x:c>
      <x:c r="G575" s="17" t="n">
        <x:v>107309.3822</x:v>
      </x:c>
      <x:c r="H575" s="17" t="n">
        <x:f>G575*F575</x:f>
        <x:v>251318.5731124</x:v>
      </x:c>
      <x:c r="I575" s="22" t="str">
        <x:f>HYPERLINK("https://etp-aktiv.ru/catalog/materialy/truby-stalnye-i-polimernye/2000570113-U121/","Открыть позицию")</x:f>
        <x:v>Открыть позицию</x:v>
      </x:c>
    </x:row>
    <x:row r="576" ht="28" customHeight="1">
      <x:c r="A576" s="16" t="str">
        <x:v>Кемеровская теплосетевая компания</x:v>
      </x:c>
      <x:c r="B576" s="16" t="str">
        <x:v>2000560471-U121</x:v>
      </x:c>
      <x:c r="C576" s="16" t="str">
        <x:v>ТРУБА В-СТ20 133*4 ГОСТ10705-80</x:v>
      </x:c>
      <x:c r="D576" s="16" t="str">
        <x:v>Трубы черные сварные малого и среднего диаметра</x:v>
      </x:c>
      <x:c r="E576" s="16" t="str">
        <x:v>Т</x:v>
      </x:c>
      <x:c r="F576" s="30" t="n">
        <x:v>0.1</x:v>
      </x:c>
      <x:c r="G576" s="17" t="n">
        <x:v>48170.272600000004</x:v>
      </x:c>
      <x:c r="H576" s="17" t="n">
        <x:f>G576*F576</x:f>
        <x:v>4817.027260000001</x:v>
      </x:c>
      <x:c r="I576" s="22" t="str">
        <x:f>HYPERLINK("https://etp-aktiv.ru/catalog/materialy/truby-stalnye-i-polimernye/2000560471-U121/","Открыть позицию")</x:f>
        <x:v>Открыть позицию</x:v>
      </x:c>
    </x:row>
    <x:row r="577" ht="28" customHeight="1">
      <x:c r="A577" s="16" t="str">
        <x:v>Кемеровская теплосетевая компания</x:v>
      </x:c>
      <x:c r="B577" s="16" t="str">
        <x:v>2000630399-U121</x:v>
      </x:c>
      <x:c r="C577" s="16" t="str">
        <x:v>ТРУБА В10Г2 38*2 ГОСТ8734-75</x:v>
      </x:c>
      <x:c r="D577" s="16" t="str">
        <x:v>Трубы черные бесшовные</x:v>
      </x:c>
      <x:c r="E577" s="16" t="str">
        <x:v>Т</x:v>
      </x:c>
      <x:c r="F577" s="30" t="n">
        <x:v>0.014</x:v>
      </x:c>
      <x:c r="G577" s="17" t="n">
        <x:v>186339.1034</x:v>
      </x:c>
      <x:c r="H577" s="17" t="n">
        <x:f>G577*F577</x:f>
        <x:v>2608.7474475999998</x:v>
      </x:c>
      <x:c r="I577" s="22" t="str">
        <x:f>HYPERLINK("https://etp-aktiv.ru/catalog/materialy/truby-stalnye-i-polimernye/2000630399-U121/","Открыть позицию")</x:f>
        <x:v>Открыть позицию</x:v>
      </x:c>
    </x:row>
    <x:row r="578" ht="28" customHeight="1">
      <x:c r="A578" s="16" t="str">
        <x:v>Кемеровская теплосетевая компания</x:v>
      </x:c>
      <x:c r="B578" s="16" t="str">
        <x:v>2000015542-U121</x:v>
      </x:c>
      <x:c r="C578" s="16" t="str">
        <x:v>ТРУБА ВГП СТ3 15*2,8 ГОСТ3262-75</x:v>
      </x:c>
      <x:c r="D578" s="16" t="str">
        <x:v>Трубы черные сварные малого и среднего диаметра</x:v>
      </x:c>
      <x:c r="E578" s="16" t="str">
        <x:v>Т</x:v>
      </x:c>
      <x:c r="F578" s="30" t="n">
        <x:v>0.084</x:v>
      </x:c>
      <x:c r="G578" s="17" t="n">
        <x:v>78133.7898</x:v>
      </x:c>
      <x:c r="H578" s="17" t="n">
        <x:f>G578*F578</x:f>
        <x:v>6563.238343200001</x:v>
      </x:c>
      <x:c r="I578" s="22" t="str">
        <x:f>HYPERLINK("https://etp-aktiv.ru/catalog/materialy/truby-stalnye-i-polimernye/2000015542-U121/","Открыть позицию")</x:f>
        <x:v>Открыть позицию</x:v>
      </x:c>
    </x:row>
    <x:row r="579" ht="28" customHeight="1">
      <x:c r="A579" s="16" t="str">
        <x:v>Кемеровская теплосетевая компания</x:v>
      </x:c>
      <x:c r="B579" s="16" t="str">
        <x:v>2000185755-U121</x:v>
      </x:c>
      <x:c r="C579" s="16" t="str">
        <x:v>ТРУБА ВГП СТ3 25*2,8 ГОСТ3262-75</x:v>
      </x:c>
      <x:c r="D579" s="16" t="str">
        <x:v>Трубы черные сварные малого и среднего диаметра</x:v>
      </x:c>
      <x:c r="E579" s="16" t="str">
        <x:v>Т</x:v>
      </x:c>
      <x:c r="F579" s="30" t="n">
        <x:v>0.006</x:v>
      </x:c>
      <x:c r="G579" s="17" t="n">
        <x:v>66642.5</x:v>
      </x:c>
      <x:c r="H579" s="17" t="n">
        <x:f>G579*F579</x:f>
        <x:v>399.855</x:v>
      </x:c>
      <x:c r="I579" s="22" t="str">
        <x:f>HYPERLINK("https://etp-aktiv.ru/catalog/materialy/truby-stalnye-i-polimernye/2000185755-U121/","Открыть позицию")</x:f>
        <x:v>Открыть позицию</x:v>
      </x:c>
    </x:row>
    <x:row r="580" ht="28" customHeight="1">
      <x:c r="A580" s="16" t="str">
        <x:v>Кемеровская теплосетевая компания</x:v>
      </x:c>
      <x:c r="B580" s="16" t="str">
        <x:v>2000309481-U121</x:v>
      </x:c>
      <x:c r="C580" s="16" t="str">
        <x:v>ТРУБА ВГП СТ3 40*3,5 ГОСТ3262-75</x:v>
      </x:c>
      <x:c r="D580" s="16" t="str">
        <x:v>Трубы черные сварные малого и среднего диаметра</x:v>
      </x:c>
      <x:c r="E580" s="16" t="str">
        <x:v>Т</x:v>
      </x:c>
      <x:c r="F580" s="30" t="n">
        <x:v>0.028</x:v>
      </x:c>
      <x:c r="G580" s="17" t="n">
        <x:v>87210.9436</x:v>
      </x:c>
      <x:c r="H580" s="17" t="n">
        <x:f>G580*F580</x:f>
        <x:v>2441.9064208</x:v>
      </x:c>
      <x:c r="I580" s="22" t="str">
        <x:f>HYPERLINK("https://etp-aktiv.ru/catalog/materialy/truby-stalnye-i-polimernye/2000309481-U121/","Открыть позицию")</x:f>
        <x:v>Открыть позицию</x:v>
      </x:c>
    </x:row>
    <x:row r="581" ht="28" customHeight="1">
      <x:c r="A581" s="16" t="str">
        <x:v>Кемеровская теплосетевая компания</x:v>
      </x:c>
      <x:c r="B581" s="16" t="str">
        <x:v>2000533185-U121</x:v>
      </x:c>
      <x:c r="C581" s="16" t="str">
        <x:v>ТРУБА ГОФРИРОВАН ПВХ 20ММ CTG20-20-K41</x:v>
      </x:c>
      <x:c r="D581" s="16" t="str">
        <x:v>Монтажные изделия для кабельной продукции</x:v>
      </x:c>
      <x:c r="E581" s="16" t="str">
        <x:v>М</x:v>
      </x:c>
      <x:c r="F581" s="21" t="n">
        <x:v>360</x:v>
      </x:c>
      <x:c r="G581" s="17" t="n">
        <x:v>12.0048</x:v>
      </x:c>
      <x:c r="H581" s="17" t="n">
        <x:f>G581*F581</x:f>
        <x:v>4321.728</x:v>
      </x:c>
      <x:c r="I581" s="22" t="str">
        <x:f>HYPERLINK("https://etp-aktiv.ru/catalog/materialy/ehlektrotekhnicheskie-materialy/2000533185-U121/","Открыть позицию")</x:f>
        <x:v>Открыть позицию</x:v>
      </x:c>
    </x:row>
    <x:row r="582" ht="28" customHeight="1">
      <x:c r="A582" s="16" t="str">
        <x:v>Кемеровская теплосетевая компания</x:v>
      </x:c>
      <x:c r="B582" s="16" t="str">
        <x:v>2000635966-U121</x:v>
      </x:c>
      <x:c r="C582" s="16" t="str">
        <x:v>ТРУБА З-Т 17Г1С 630*8 К52 ГОСТ20295-85</x:v>
      </x:c>
      <x:c r="D582" s="16" t="str">
        <x:v>Трубы черные сварные большого диаметра</x:v>
      </x:c>
      <x:c r="E582" s="16" t="str">
        <x:v>Т</x:v>
      </x:c>
      <x:c r="F582" s="29" t="n">
        <x:v>8.177</x:v>
      </x:c>
      <x:c r="G582" s="17" t="n">
        <x:v>84673.29479999999</x:v>
      </x:c>
      <x:c r="H582" s="17" t="n">
        <x:f>G582*F582</x:f>
        <x:v>692373.5315795998</x:v>
      </x:c>
      <x:c r="I582" s="22" t="str">
        <x:f>HYPERLINK("https://etp-aktiv.ru/catalog/materialy/truby-stalnye-i-polimernye/2000635966-U121/","Открыть позицию")</x:f>
        <x:v>Открыть позицию</x:v>
      </x:c>
    </x:row>
    <x:row r="583" ht="28" customHeight="1">
      <x:c r="A583" s="16" t="str">
        <x:v>Кемеровская теплосетевая компания</x:v>
      </x:c>
      <x:c r="B583" s="16" t="str">
        <x:v>2000742674-U121</x:v>
      </x:c>
      <x:c r="C583" s="16" t="str">
        <x:v>ТРУБА КВАДРАТНАЯ СТ3 60*60*2 ГОСТ8639-82</x:v>
      </x:c>
      <x:c r="D583" s="16" t="str">
        <x:v>Трубы профильные</x:v>
      </x:c>
      <x:c r="E583" s="16" t="str">
        <x:v>Т</x:v>
      </x:c>
      <x:c r="F583" s="30" t="n">
        <x:v>0.238</x:v>
      </x:c>
      <x:c r="G583" s="17" t="n">
        <x:v>51087.487799999995</x:v>
      </x:c>
      <x:c r="H583" s="17" t="n">
        <x:f>G583*F583</x:f>
        <x:v>12158.822096399997</x:v>
      </x:c>
      <x:c r="I583" s="22" t="str">
        <x:f>HYPERLINK("https://etp-aktiv.ru/catalog/materialy/truby-stalnye-i-polimernye/2000742674-U121/","Открыть позицию")</x:f>
        <x:v>Открыть позицию</x:v>
      </x:c>
    </x:row>
    <x:row r="584" ht="28" customHeight="1">
      <x:c r="A584" s="16" t="str">
        <x:v>Кемеровская теплосетевая компания</x:v>
      </x:c>
      <x:c r="B584" s="16" t="str">
        <x:v>2000981061-U121</x:v>
      </x:c>
      <x:c r="C584" s="16" t="str">
        <x:v>ТРУБА ЛА ЧНР 250*10 ГОСТ9583-75</x:v>
      </x:c>
      <x:c r="D584" s="16" t="str">
        <x:v>@Трубы прочие</x:v>
      </x:c>
      <x:c r="E584" s="16" t="str">
        <x:v>Т</x:v>
      </x:c>
      <x:c r="F584" s="29" t="n">
        <x:v>2.4</x:v>
      </x:c>
      <x:c r="G584" s="17" t="n">
        <x:v>230703.525</x:v>
      </x:c>
      <x:c r="H584" s="17" t="n">
        <x:f>G584*F584</x:f>
        <x:v>553688.46</x:v>
      </x:c>
      <x:c r="I584" s="22" t="str">
        <x:f>HYPERLINK("https://etp-aktiv.ru/catalog/materialy/truby-stalnye-i-polimernye/2000981061-U121/","Открыть позицию")</x:f>
        <x:v>Открыть позицию</x:v>
      </x:c>
    </x:row>
    <x:row r="585" ht="28" customHeight="1">
      <x:c r="A585" s="16" t="str">
        <x:v>Кемеровская теплосетевая компания</x:v>
      </x:c>
      <x:c r="B585" s="16" t="str">
        <x:v>2000299427-U121</x:v>
      </x:c>
      <x:c r="C585" s="16" t="str">
        <x:v>ТРУБА ПВХ 25ММ DKC ГОСТ50827-95</x:v>
      </x:c>
      <x:c r="D585" s="16" t="str">
        <x:v>Монтажные изделия для кабельной продукции</x:v>
      </x:c>
      <x:c r="E585" s="16" t="str">
        <x:v>М</x:v>
      </x:c>
      <x:c r="F585" s="29" t="n">
        <x:v>1.5</x:v>
      </x:c>
      <x:c r="G585" s="17" t="n">
        <x:v>152.5</x:v>
      </x:c>
      <x:c r="H585" s="17" t="n">
        <x:f>G585*F585</x:f>
        <x:v>228.75</x:v>
      </x:c>
      <x:c r="I585" s="22" t="str">
        <x:f>HYPERLINK("https://etp-aktiv.ru/catalog/materialy/ehlektrotekhnicheskie-materialy/2000299427-U121/","Открыть позицию")</x:f>
        <x:v>Открыть позицию</x:v>
      </x:c>
    </x:row>
    <x:row r="586" ht="28" customHeight="1">
      <x:c r="A586" s="16" t="str">
        <x:v>Кемеровская теплосетевая компания</x:v>
      </x:c>
      <x:c r="B586" s="16" t="str">
        <x:v>2001017277-U121</x:v>
      </x:c>
      <x:c r="C586" s="16" t="str">
        <x:v>ТРУБА ПНД D110 TR-HDPE110-450-BLACK 3М</x:v>
      </x:c>
      <x:c r="D586" s="16" t="str">
        <x:v>Монтажные изделия для кабельной продукции</x:v>
      </x:c>
      <x:c r="E586" s="16" t="str">
        <x:v>ШТ</x:v>
      </x:c>
      <x:c r="F586" s="21" t="n">
        <x:v>19</x:v>
      </x:c>
      <x:c r="G586" s="17" t="n">
        <x:v>3174.5986000000003</x:v>
      </x:c>
      <x:c r="H586" s="17" t="n">
        <x:f>G586*F586</x:f>
        <x:v>60317.373400000004</x:v>
      </x:c>
      <x:c r="I586" s="22" t="str">
        <x:f>HYPERLINK("https://etp-aktiv.ru/catalog/materialy/ehlektrotekhnicheskie-materialy/2001017277-U121/","Открыть позицию")</x:f>
        <x:v>Открыть позицию</x:v>
      </x:c>
    </x:row>
    <x:row r="587" ht="28" customHeight="1">
      <x:c r="A587" s="16" t="str">
        <x:v>Кемеровская теплосетевая компания</x:v>
      </x:c>
      <x:c r="B587" s="16" t="str">
        <x:v>2000307391-U121</x:v>
      </x:c>
      <x:c r="C587" s="16" t="str">
        <x:v>ТРУБА ПРОФ СТ3 80*40*3 ГОСТ8645-68</x:v>
      </x:c>
      <x:c r="D587" s="16" t="str">
        <x:v>Трубы профильные</x:v>
      </x:c>
      <x:c r="E587" s="16" t="str">
        <x:v>Т</x:v>
      </x:c>
      <x:c r="F587" s="30" t="n">
        <x:v>0.322</x:v>
      </x:c>
      <x:c r="G587" s="17" t="n">
        <x:v>129194.90120000001</x:v>
      </x:c>
      <x:c r="H587" s="17" t="n">
        <x:f>G587*F587</x:f>
        <x:v>41600.7581864</x:v>
      </x:c>
      <x:c r="I587" s="22" t="str">
        <x:f>HYPERLINK("https://etp-aktiv.ru/catalog/materialy/truby-stalnye-i-polimernye/2000307391-U121/","Открыть позицию")</x:f>
        <x:v>Открыть позицию</x:v>
      </x:c>
    </x:row>
    <x:row r="588" ht="28" customHeight="1">
      <x:c r="A588" s="16" t="str">
        <x:v>Кемеровская теплосетевая компания</x:v>
      </x:c>
      <x:c r="B588" s="16" t="str">
        <x:v>2000582405-U121</x:v>
      </x:c>
      <x:c r="C588" s="16" t="str">
        <x:v>ТРУБА СТ 57*4-1-ППУ-ПЭ(125) ГОСТ30732-20</x:v>
      </x:c>
      <x:c r="D588" s="16" t="str">
        <x:v>Трубы и элементы трубопроводов теплоизолиров и футерованных</x:v>
      </x:c>
      <x:c r="E588" s="16" t="str">
        <x:v>М</x:v>
      </x:c>
      <x:c r="F588" s="29" t="n">
        <x:v>51.2</x:v>
      </x:c>
      <x:c r="G588" s="17" t="n">
        <x:v>1522.9137999999998</x:v>
      </x:c>
      <x:c r="H588" s="17" t="n">
        <x:f>G588*F588</x:f>
        <x:v>77973.18655999999</x:v>
      </x:c>
      <x:c r="I588" s="22" t="str">
        <x:f>HYPERLINK("https://etp-aktiv.ru/catalog/materialy/truboprovody/2000582405-U121/","Открыть позицию")</x:f>
        <x:v>Открыть позицию</x:v>
      </x:c>
    </x:row>
    <x:row r="589" ht="28" customHeight="1">
      <x:c r="A589" s="16" t="str">
        <x:v>Кемеровская теплосетевая компания</x:v>
      </x:c>
      <x:c r="B589" s="16" t="str">
        <x:v>2000259587-U121</x:v>
      </x:c>
      <x:c r="C589" s="16" t="str">
        <x:v>ТРУБА СТ10 219*6 ГОСТ10705-80</x:v>
      </x:c>
      <x:c r="D589" s="16" t="str">
        <x:v>Трубы черные сварные малого и среднего диаметра</x:v>
      </x:c>
      <x:c r="E589" s="16" t="str">
        <x:v>Т</x:v>
      </x:c>
      <x:c r="F589" s="30" t="n">
        <x:v>0.641</x:v>
      </x:c>
      <x:c r="G589" s="17" t="n">
        <x:v>67100</x:v>
      </x:c>
      <x:c r="H589" s="17" t="n">
        <x:f>G589*F589</x:f>
        <x:v>43011.1</x:v>
      </x:c>
      <x:c r="I589" s="22" t="str">
        <x:f>HYPERLINK("https://etp-aktiv.ru/catalog/materialy/truby-stalnye-i-polimernye/2000259587-U121/","Открыть позицию")</x:f>
        <x:v>Открыть позицию</x:v>
      </x:c>
    </x:row>
    <x:row r="590" ht="28" customHeight="1">
      <x:c r="A590" s="16" t="str">
        <x:v>Кемеровская теплосетевая компания</x:v>
      </x:c>
      <x:c r="B590" s="16" t="str">
        <x:v>2000980972-U121</x:v>
      </x:c>
      <x:c r="C590" s="16" t="str">
        <x:v>ТРУБА СТ10 426*6 ГОСТ10705-80</x:v>
      </x:c>
      <x:c r="D590" s="16" t="str">
        <x:v>Трубы черные сварные малого и среднего диаметра</x:v>
      </x:c>
      <x:c r="E590" s="16" t="str">
        <x:v>Т</x:v>
      </x:c>
      <x:c r="F590" s="30" t="n">
        <x:v>0.272</x:v>
      </x:c>
      <x:c r="G590" s="17" t="n">
        <x:v>71635.55739999999</x:v>
      </x:c>
      <x:c r="H590" s="17" t="n">
        <x:f>G590*F590</x:f>
        <x:v>19484.871612799998</x:v>
      </x:c>
      <x:c r="I590" s="22" t="str">
        <x:f>HYPERLINK("https://etp-aktiv.ru/catalog/materialy/truby-stalnye-i-polimernye/2000980972-U121/","Открыть позицию")</x:f>
        <x:v>Открыть позицию</x:v>
      </x:c>
    </x:row>
    <x:row r="591" ht="28" customHeight="1">
      <x:c r="A591" s="16" t="str">
        <x:v>Кемеровская теплосетевая компания</x:v>
      </x:c>
      <x:c r="B591" s="16" t="str">
        <x:v>2000981131-U121</x:v>
      </x:c>
      <x:c r="C591" s="16" t="str">
        <x:v>ТРУБА СТ10 426*7 ГОСТ10705-80</x:v>
      </x:c>
      <x:c r="D591" s="16" t="str">
        <x:v>Трубы черные сварные малого и среднего диаметра</x:v>
      </x:c>
      <x:c r="E591" s="16" t="str">
        <x:v>Т</x:v>
      </x:c>
      <x:c r="F591" s="29" t="n">
        <x:v>10.276</x:v>
      </x:c>
      <x:c r="G591" s="17" t="n">
        <x:v>67100</x:v>
      </x:c>
      <x:c r="H591" s="17" t="n">
        <x:f>G591*F591</x:f>
        <x:v>689519.6</x:v>
      </x:c>
      <x:c r="I591" s="22" t="str">
        <x:f>HYPERLINK("https://etp-aktiv.ru/catalog/materialy/truby-stalnye-i-polimernye/2000981131-U121/","Открыть позицию")</x:f>
        <x:v>Открыть позицию</x:v>
      </x:c>
    </x:row>
    <x:row r="592" ht="28" customHeight="1">
      <x:c r="A592" s="16" t="str">
        <x:v>Кемеровская теплосетевая компания</x:v>
      </x:c>
      <x:c r="B592" s="16" t="str">
        <x:v>2000173816-U121</x:v>
      </x:c>
      <x:c r="C592" s="16" t="str">
        <x:v>ТРУБА СТ17Г1СУ 1220*12 ГОСТ10706-80</x:v>
      </x:c>
      <x:c r="D592" s="16" t="str">
        <x:v>Трубы большого диаметра</x:v>
      </x:c>
      <x:c r="E592" s="16" t="str">
        <x:v>Т</x:v>
      </x:c>
      <x:c r="F592" s="30" t="n">
        <x:v>0.072</x:v>
      </x:c>
      <x:c r="G592" s="17" t="n">
        <x:v>46689.0584</x:v>
      </x:c>
      <x:c r="H592" s="17" t="n">
        <x:f>G592*F592</x:f>
        <x:v>3361.6122047999997</x:v>
      </x:c>
      <x:c r="I592" s="22" t="str">
        <x:f>HYPERLINK("https://etp-aktiv.ru/catalog/materialy/truby-stalnye-i-polimernye/2000173816-U121/","Открыть позицию")</x:f>
        <x:v>Открыть позицию</x:v>
      </x:c>
    </x:row>
    <x:row r="593" ht="28" customHeight="1">
      <x:c r="A593" s="16" t="str">
        <x:v>Кемеровская теплосетевая компания</x:v>
      </x:c>
      <x:c r="B593" s="16" t="str">
        <x:v>2001007668-U121</x:v>
      </x:c>
      <x:c r="C593" s="16" t="str">
        <x:v>ТРУБА СТ20 108*4 1-ППУ-ПЭ ГОСТ30732-2020</x:v>
      </x:c>
      <x:c r="D593" s="16" t="str">
        <x:v>Трубы и элементы трубопроводов теплоизолиров и футерованных</x:v>
      </x:c>
      <x:c r="E593" s="16" t="str">
        <x:v>М</x:v>
      </x:c>
      <x:c r="F593" s="21" t="n">
        <x:v>41</x:v>
      </x:c>
      <x:c r="G593" s="17" t="n">
        <x:v>1970.1169999999997</x:v>
      </x:c>
      <x:c r="H593" s="17" t="n">
        <x:f>G593*F593</x:f>
        <x:v>80774.79699999999</x:v>
      </x:c>
      <x:c r="I593" s="22" t="str">
        <x:f>HYPERLINK("https://etp-aktiv.ru/catalog/materialy/truboprovody/2001007668-U121/","Открыть позицию")</x:f>
        <x:v>Открыть позицию</x:v>
      </x:c>
    </x:row>
    <x:row r="594" ht="28" customHeight="1">
      <x:c r="A594" s="16" t="str">
        <x:v>Кемеровская теплосетевая компания</x:v>
      </x:c>
      <x:c r="B594" s="16" t="str">
        <x:v>2000563571-U121</x:v>
      </x:c>
      <x:c r="C594" s="16" t="str">
        <x:v>ТРУБА СТ20 108*6-1-ППУ-ПЭ ГОСТ30732-06</x:v>
      </x:c>
      <x:c r="D594" s="16" t="str">
        <x:v>Трубы и элементы трубопроводов теплоизолиров и футерованных</x:v>
      </x:c>
      <x:c r="E594" s="16" t="str">
        <x:v>М</x:v>
      </x:c>
      <x:c r="F594" s="29" t="n">
        <x:v>11.48</x:v>
      </x:c>
      <x:c r="G594" s="17" t="n">
        <x:v>2371.8508</x:v>
      </x:c>
      <x:c r="H594" s="17" t="n">
        <x:f>G594*F594</x:f>
        <x:v>27228.847184000002</x:v>
      </x:c>
      <x:c r="I594" s="22" t="str">
        <x:f>HYPERLINK("https://etp-aktiv.ru/catalog/materialy/truboprovody/2000563571-U121/","Открыть позицию")</x:f>
        <x:v>Открыть позицию</x:v>
      </x:c>
    </x:row>
    <x:row r="595" ht="28" customHeight="1">
      <x:c r="A595" s="16" t="str">
        <x:v>Кемеровская теплосетевая компания</x:v>
      </x:c>
      <x:c r="B595" s="16" t="str">
        <x:v>2001018920-U121</x:v>
      </x:c>
      <x:c r="C595" s="16" t="str">
        <x:v>ТРУБА СТ20 1220*11 ГОСТ10705-91</x:v>
      </x:c>
      <x:c r="D595" s="16" t="str">
        <x:v>Трубы черные сварные большого диаметра</x:v>
      </x:c>
      <x:c r="E595" s="16" t="str">
        <x:v>Т</x:v>
      </x:c>
      <x:c r="F595" s="30" t="n">
        <x:v>0.035</x:v>
      </x:c>
      <x:c r="G595" s="17" t="n">
        <x:v>110715</x:v>
      </x:c>
      <x:c r="H595" s="17" t="n">
        <x:f>G595*F595</x:f>
        <x:v>3875.0250000000005</x:v>
      </x:c>
      <x:c r="I595" s="22" t="str">
        <x:f>HYPERLINK("https://etp-aktiv.ru/catalog/materialy/truby-stalnye-i-polimernye/2001018920-U121/","Открыть позицию")</x:f>
        <x:v>Открыть позицию</x:v>
      </x:c>
    </x:row>
    <x:row r="596" ht="28" customHeight="1">
      <x:c r="A596" s="16" t="str">
        <x:v>Кемеровская теплосетевая компания</x:v>
      </x:c>
      <x:c r="B596" s="16" t="str">
        <x:v>2000560573-U121</x:v>
      </x:c>
      <x:c r="C596" s="16" t="str">
        <x:v>ТРУБА СТ20 1220*12 ГОСТ10706-76</x:v>
      </x:c>
      <x:c r="D596" s="16" t="str">
        <x:v>Трубы черные сварные большого диаметра</x:v>
      </x:c>
      <x:c r="E596" s="16" t="str">
        <x:v>Т</x:v>
      </x:c>
      <x:c r="F596" s="30" t="n">
        <x:v>0.979</x:v>
      </x:c>
      <x:c r="G596" s="17" t="n">
        <x:v>91547.6166</x:v>
      </x:c>
      <x:c r="H596" s="17" t="n">
        <x:f>G596*F596</x:f>
        <x:v>89625.11665139999</x:v>
      </x:c>
      <x:c r="I596" s="22" t="str">
        <x:f>HYPERLINK("https://etp-aktiv.ru/catalog/materialy/truby-stalnye-i-polimernye/2000560573-U121/","Открыть позицию")</x:f>
        <x:v>Открыть позицию</x:v>
      </x:c>
    </x:row>
    <x:row r="597" ht="28" customHeight="1">
      <x:c r="A597" s="16" t="str">
        <x:v>Кемеровская теплосетевая компания</x:v>
      </x:c>
      <x:c r="B597" s="16" t="str">
        <x:v>2001008052-U121</x:v>
      </x:c>
      <x:c r="C597" s="16" t="str">
        <x:v>ТРУБА СТ20 133*4 1-ППУ-ПЭ ГОСТ30732-2020</x:v>
      </x:c>
      <x:c r="D597" s="16" t="str">
        <x:v>Трубы и элементы трубопроводов теплоизолиров и футерованных</x:v>
      </x:c>
      <x:c r="E597" s="16" t="str">
        <x:v>М</x:v>
      </x:c>
      <x:c r="F597" s="29" t="n">
        <x:v>4.4</x:v>
      </x:c>
      <x:c r="G597" s="17" t="n">
        <x:v>2374.5836</x:v>
      </x:c>
      <x:c r="H597" s="17" t="n">
        <x:f>G597*F597</x:f>
        <x:v>10448.16784</x:v>
      </x:c>
      <x:c r="I597" s="22" t="str">
        <x:f>HYPERLINK("https://etp-aktiv.ru/catalog/materialy/truboprovody/2001008052-U121/","Открыть позицию")</x:f>
        <x:v>Открыть позицию</x:v>
      </x:c>
    </x:row>
    <x:row r="598" ht="28" customHeight="1">
      <x:c r="A598" s="16" t="str">
        <x:v>Кемеровская теплосетевая компания</x:v>
      </x:c>
      <x:c r="B598" s="16" t="str">
        <x:v>2000560469-U121</x:v>
      </x:c>
      <x:c r="C598" s="16" t="str">
        <x:v>ТРУБА СТ20 133*4 ГОСТ10705-80</x:v>
      </x:c>
      <x:c r="D598" s="16" t="str">
        <x:v>Трубы черные сварные малого и среднего диаметра</x:v>
      </x:c>
      <x:c r="E598" s="16" t="str">
        <x:v>Т</x:v>
      </x:c>
      <x:c r="F598" s="29" t="n">
        <x:v>2.196</x:v>
      </x:c>
      <x:c r="G598" s="17" t="n">
        <x:v>67100</x:v>
      </x:c>
      <x:c r="H598" s="17" t="n">
        <x:f>G598*F598</x:f>
        <x:v>147351.6</x:v>
      </x:c>
      <x:c r="I598" s="22" t="str">
        <x:f>HYPERLINK("https://etp-aktiv.ru/catalog/materialy/truby-stalnye-i-polimernye/2000560469-U121/","Открыть позицию")</x:f>
        <x:v>Открыть позицию</x:v>
      </x:c>
    </x:row>
    <x:row r="599" ht="28" customHeight="1">
      <x:c r="A599" s="16" t="str">
        <x:v>Кемеровская теплосетевая компания</x:v>
      </x:c>
      <x:c r="B599" s="16" t="str">
        <x:v>2000560474-U121</x:v>
      </x:c>
      <x:c r="C599" s="16" t="str">
        <x:v>ТРУБА СТ20 133*4,5 ГОСТ10705-80</x:v>
      </x:c>
      <x:c r="D599" s="16" t="str">
        <x:v>Трубы черные сварные малого и среднего диаметра</x:v>
      </x:c>
      <x:c r="E599" s="16" t="str">
        <x:v>Т</x:v>
      </x:c>
      <x:c r="F599" s="29" t="n">
        <x:v>13.063</x:v>
      </x:c>
      <x:c r="G599" s="17" t="n">
        <x:v>67100</x:v>
      </x:c>
      <x:c r="H599" s="17" t="n">
        <x:f>G599*F599</x:f>
        <x:v>876527.3</x:v>
      </x:c>
      <x:c r="I599" s="22" t="str">
        <x:f>HYPERLINK("https://etp-aktiv.ru/catalog/materialy/truby-stalnye-i-polimernye/2000560474-U121/","Открыть позицию")</x:f>
        <x:v>Открыть позицию</x:v>
      </x:c>
    </x:row>
    <x:row r="600" ht="28" customHeight="1">
      <x:c r="A600" s="16" t="str">
        <x:v>Кемеровская теплосетевая компания</x:v>
      </x:c>
      <x:c r="B600" s="16" t="str">
        <x:v>2000557803-U121</x:v>
      </x:c>
      <x:c r="C600" s="16" t="str">
        <x:v>ТРУБА СТ20 133*6 ГОСТ8731-74</x:v>
      </x:c>
      <x:c r="D600" s="16" t="str">
        <x:v>Трубы черные бесшовные</x:v>
      </x:c>
      <x:c r="E600" s="16" t="str">
        <x:v>Т</x:v>
      </x:c>
      <x:c r="F600" s="30" t="n">
        <x:v>0.2</x:v>
      </x:c>
      <x:c r="G600" s="17" t="n">
        <x:v>101709.44799999999</x:v>
      </x:c>
      <x:c r="H600" s="17" t="n">
        <x:f>G600*F600</x:f>
        <x:v>20341.8896</x:v>
      </x:c>
      <x:c r="I600" s="22" t="str">
        <x:f>HYPERLINK("https://etp-aktiv.ru/catalog/materialy/truby-stalnye-i-polimernye/2000557803-U121/","Открыть позицию")</x:f>
        <x:v>Открыть позицию</x:v>
      </x:c>
    </x:row>
    <x:row r="601" ht="28" customHeight="1">
      <x:c r="A601" s="16" t="str">
        <x:v>Кемеровская теплосетевая компания</x:v>
      </x:c>
      <x:c r="B601" s="16" t="str">
        <x:v>2000921204-U121</x:v>
      </x:c>
      <x:c r="C601" s="16" t="str">
        <x:v>ТРУБА СТ20 159*4,5 1-ППУ-ПЭ ГОСТ30732-20</x:v>
      </x:c>
      <x:c r="D601" s="16" t="str">
        <x:v>Трубы и элементы трубопроводов теплоизолиров и футерованных</x:v>
      </x:c>
      <x:c r="E601" s="16" t="str">
        <x:v>М</x:v>
      </x:c>
      <x:c r="F601" s="29" t="n">
        <x:v>60.79</x:v>
      </x:c>
      <x:c r="G601" s="17" t="n">
        <x:v>3218.238</x:v>
      </x:c>
      <x:c r="H601" s="17" t="n">
        <x:f>G601*F601</x:f>
        <x:v>195636.68801999997</x:v>
      </x:c>
      <x:c r="I601" s="22" t="str">
        <x:f>HYPERLINK("https://etp-aktiv.ru/catalog/materialy/truboprovody/2000921204-U121/","Открыть позицию")</x:f>
        <x:v>Открыть позицию</x:v>
      </x:c>
    </x:row>
    <x:row r="602" ht="28" customHeight="1">
      <x:c r="A602" s="16" t="str">
        <x:v>Кемеровская теплосетевая компания</x:v>
      </x:c>
      <x:c r="B602" s="16" t="str">
        <x:v>2000996934-U121</x:v>
      </x:c>
      <x:c r="C602" s="16" t="str">
        <x:v>ТРУБА СТ20 219*4 ГОСТ10705-80</x:v>
      </x:c>
      <x:c r="D602" s="16" t="str">
        <x:v>@Трубы прочие</x:v>
      </x:c>
      <x:c r="E602" s="16" t="str">
        <x:v>Т</x:v>
      </x:c>
      <x:c r="F602" s="30" t="n">
        <x:v>0.286</x:v>
      </x:c>
      <x:c r="G602" s="17" t="n">
        <x:v>64050</x:v>
      </x:c>
      <x:c r="H602" s="17" t="n">
        <x:f>G602*F602</x:f>
        <x:v>18318.3</x:v>
      </x:c>
      <x:c r="I602" s="22" t="str">
        <x:f>HYPERLINK("https://etp-aktiv.ru/catalog/materialy/truby-stalnye-i-polimernye/2000996934-U121/","Открыть позицию")</x:f>
        <x:v>Открыть позицию</x:v>
      </x:c>
    </x:row>
    <x:row r="603" ht="28" customHeight="1">
      <x:c r="A603" s="16" t="str">
        <x:v>Кемеровская теплосетевая компания</x:v>
      </x:c>
      <x:c r="B603" s="16" t="str">
        <x:v>2000742697-U121</x:v>
      </x:c>
      <x:c r="C603" s="16" t="str">
        <x:v>ТРУБА СТ20 219*5 ГОСТ10705-80</x:v>
      </x:c>
      <x:c r="D603" s="16" t="str">
        <x:v>Трубы черные сварные малого и среднего диаметра</x:v>
      </x:c>
      <x:c r="E603" s="16" t="str">
        <x:v>Т</x:v>
      </x:c>
      <x:c r="F603" s="30" t="n">
        <x:v>0.005</x:v>
      </x:c>
      <x:c r="G603" s="17" t="n">
        <x:v>59627.5</x:v>
      </x:c>
      <x:c r="H603" s="17" t="n">
        <x:f>G603*F603</x:f>
        <x:v>298.1375</x:v>
      </x:c>
      <x:c r="I603" s="22" t="str">
        <x:f>HYPERLINK("https://etp-aktiv.ru/catalog/materialy/truby-stalnye-i-polimernye/2000742697-U121/","Открыть позицию")</x:f>
        <x:v>Открыть позицию</x:v>
      </x:c>
    </x:row>
    <x:row r="604" ht="28" customHeight="1">
      <x:c r="A604" s="16" t="str">
        <x:v>Кемеровская теплосетевая компания</x:v>
      </x:c>
      <x:c r="B604" s="16" t="str">
        <x:v>2000177693-U121</x:v>
      </x:c>
      <x:c r="C604" s="16" t="str">
        <x:v>ТРУБА СТ20 219*8 ГОСТ10705-80</x:v>
      </x:c>
      <x:c r="D604" s="16" t="str">
        <x:v>Трубы черные сварные малого и среднего диаметра</x:v>
      </x:c>
      <x:c r="E604" s="16" t="str">
        <x:v>Т</x:v>
      </x:c>
      <x:c r="F604" s="30" t="n">
        <x:v>0.021</x:v>
      </x:c>
      <x:c r="G604" s="17" t="n">
        <x:v>65551.6004</x:v>
      </x:c>
      <x:c r="H604" s="17" t="n">
        <x:f>G604*F604</x:f>
        <x:v>1376.5836084</x:v>
      </x:c>
      <x:c r="I604" s="22" t="str">
        <x:f>HYPERLINK("https://etp-aktiv.ru/catalog/materialy/truby-stalnye-i-polimernye/2000177693-U121/","Открыть позицию")</x:f>
        <x:v>Открыть позицию</x:v>
      </x:c>
    </x:row>
    <x:row r="605" ht="28" customHeight="1">
      <x:c r="A605" s="16" t="str">
        <x:v>Кемеровская теплосетевая компания</x:v>
      </x:c>
      <x:c r="B605" s="16" t="str">
        <x:v>2000560501-U121</x:v>
      </x:c>
      <x:c r="C605" s="16" t="str">
        <x:v>ТРУБА СТ20 273*5 ГОСТ10705-80</x:v>
      </x:c>
      <x:c r="D605" s="16" t="str">
        <x:v>Трубы черные сварные малого и среднего диаметра</x:v>
      </x:c>
      <x:c r="E605" s="16" t="str">
        <x:v>Т</x:v>
      </x:c>
      <x:c r="F605" s="30" t="n">
        <x:v>0.541</x:v>
      </x:c>
      <x:c r="G605" s="17" t="n">
        <x:v>67100</x:v>
      </x:c>
      <x:c r="H605" s="17" t="n">
        <x:f>G605*F605</x:f>
        <x:v>36301.100000000006</x:v>
      </x:c>
      <x:c r="I605" s="22" t="str">
        <x:f>HYPERLINK("https://etp-aktiv.ru/catalog/materialy/truby-stalnye-i-polimernye/2000560501-U121/","Открыть позицию")</x:f>
        <x:v>Открыть позицию</x:v>
      </x:c>
    </x:row>
    <x:row r="606" ht="28" customHeight="1">
      <x:c r="A606" s="16" t="str">
        <x:v>Кемеровская теплосетевая компания</x:v>
      </x:c>
      <x:c r="B606" s="16" t="str">
        <x:v>2000560212-U121</x:v>
      </x:c>
      <x:c r="C606" s="16" t="str">
        <x:v>ТРУБА СТ20 32*3 ГОСТ8733-74</x:v>
      </x:c>
      <x:c r="D606" s="16" t="str">
        <x:v>Трубы черные бесшовные</x:v>
      </x:c>
      <x:c r="E606" s="16" t="str">
        <x:v>Т</x:v>
      </x:c>
      <x:c r="F606" s="30" t="n">
        <x:v>0.006</x:v>
      </x:c>
      <x:c r="G606" s="17" t="n">
        <x:v>166987.5</x:v>
      </x:c>
      <x:c r="H606" s="17" t="n">
        <x:f>G606*F606</x:f>
        <x:v>1001.9250000000001</x:v>
      </x:c>
      <x:c r="I606" s="22" t="str">
        <x:f>HYPERLINK("https://etp-aktiv.ru/catalog/materialy/truby-stalnye-i-polimernye/2000560212-U121/","Открыть позицию")</x:f>
        <x:v>Открыть позицию</x:v>
      </x:c>
    </x:row>
    <x:row r="607" ht="28" customHeight="1">
      <x:c r="A607" s="16" t="str">
        <x:v>Кемеровская теплосетевая компания</x:v>
      </x:c>
      <x:c r="B607" s="16" t="str">
        <x:v>2000560227-U121</x:v>
      </x:c>
      <x:c r="C607" s="16" t="str">
        <x:v>ТРУБА СТ20 325*8 ГОСТ8731-74</x:v>
      </x:c>
      <x:c r="D607" s="16" t="str">
        <x:v>Трубы черные бесшовные</x:v>
      </x:c>
      <x:c r="E607" s="16" t="str">
        <x:v>Т</x:v>
      </x:c>
      <x:c r="F607" s="30" t="n">
        <x:v>0.189</x:v>
      </x:c>
      <x:c r="G607" s="17" t="n">
        <x:v>108461.05</x:v>
      </x:c>
      <x:c r="H607" s="17" t="n">
        <x:f>G607*F607</x:f>
        <x:v>20499.138450000002</x:v>
      </x:c>
      <x:c r="I607" s="22" t="str">
        <x:f>HYPERLINK("https://etp-aktiv.ru/catalog/materialy/truby-stalnye-i-polimernye/2000560227-U121/","Открыть позицию")</x:f>
        <x:v>Открыть позицию</x:v>
      </x:c>
    </x:row>
    <x:row r="608" ht="28" customHeight="1">
      <x:c r="A608" s="16" t="str">
        <x:v>Кемеровская теплосетевая компания</x:v>
      </x:c>
      <x:c r="B608" s="16" t="str">
        <x:v>2000560517-U121</x:v>
      </x:c>
      <x:c r="C608" s="16" t="str">
        <x:v>ТРУБА СТ20 377*9 ГОСТ10705-80</x:v>
      </x:c>
      <x:c r="D608" s="16" t="str">
        <x:v>Трубы черные сварные малого и среднего диаметра</x:v>
      </x:c>
      <x:c r="E608" s="16" t="str">
        <x:v>Т</x:v>
      </x:c>
      <x:c r="F608" s="29" t="n">
        <x:v>1.38</x:v>
      </x:c>
      <x:c r="G608" s="17" t="n">
        <x:v>69521.761</x:v>
      </x:c>
      <x:c r="H608" s="17" t="n">
        <x:f>G608*F608</x:f>
        <x:v>95940.03017999999</x:v>
      </x:c>
      <x:c r="I608" s="22" t="str">
        <x:f>HYPERLINK("https://etp-aktiv.ru/catalog/materialy/truby-stalnye-i-polimernye/2000560517-U121/","Открыть позицию")</x:f>
        <x:v>Открыть позицию</x:v>
      </x:c>
    </x:row>
    <x:row r="609" ht="28" customHeight="1">
      <x:c r="A609" s="16" t="str">
        <x:v>Кемеровская теплосетевая компания</x:v>
      </x:c>
      <x:c r="B609" s="16" t="str">
        <x:v>2000560238-U121</x:v>
      </x:c>
      <x:c r="C609" s="16" t="str">
        <x:v>ТРУБА СТ20 38*3 ГОСТ8733-74</x:v>
      </x:c>
      <x:c r="D609" s="16" t="str">
        <x:v>Трубы черные бесшовные</x:v>
      </x:c>
      <x:c r="E609" s="16" t="str">
        <x:v>Т</x:v>
      </x:c>
      <x:c r="F609" s="30" t="n">
        <x:v>0.009</x:v>
      </x:c>
      <x:c r="G609" s="17" t="n">
        <x:v>149740.7626</x:v>
      </x:c>
      <x:c r="H609" s="17" t="n">
        <x:f>G609*F609</x:f>
        <x:v>1347.6668633999998</x:v>
      </x:c>
      <x:c r="I609" s="22" t="str">
        <x:f>HYPERLINK("https://etp-aktiv.ru/catalog/materialy/truby-stalnye-i-polimernye/2000560238-U121/","Открыть позицию")</x:f>
        <x:v>Открыть позицию</x:v>
      </x:c>
    </x:row>
    <x:row r="610" ht="28" customHeight="1">
      <x:c r="A610" s="16" t="str">
        <x:v>Кемеровская теплосетевая компания</x:v>
      </x:c>
      <x:c r="B610" s="16" t="str">
        <x:v>2000560584-U121</x:v>
      </x:c>
      <x:c r="C610" s="16" t="str">
        <x:v>ТРУБА СТ20 426*6 ГОСТ10705-80</x:v>
      </x:c>
      <x:c r="D610" s="16" t="str">
        <x:v>Трубы черные сварные малого и среднего диаметра</x:v>
      </x:c>
      <x:c r="E610" s="16" t="str">
        <x:v>Т</x:v>
      </x:c>
      <x:c r="F610" s="30" t="n">
        <x:v>0.611</x:v>
      </x:c>
      <x:c r="G610" s="17" t="n">
        <x:v>70058.805</x:v>
      </x:c>
      <x:c r="H610" s="17" t="n">
        <x:f>G610*F610</x:f>
        <x:v>42805.929854999995</x:v>
      </x:c>
      <x:c r="I610" s="22" t="str">
        <x:f>HYPERLINK("https://etp-aktiv.ru/catalog/materialy/truby-stalnye-i-polimernye/2000560584-U121/","Открыть позицию")</x:f>
        <x:v>Открыть позицию</x:v>
      </x:c>
    </x:row>
    <x:row r="611" ht="28" customHeight="1">
      <x:c r="A611" s="16" t="str">
        <x:v>Кемеровская теплосетевая компания</x:v>
      </x:c>
      <x:c r="B611" s="16" t="str">
        <x:v>2000560528-U121</x:v>
      </x:c>
      <x:c r="C611" s="16" t="str">
        <x:v>ТРУБА СТ20 45*2 ГОСТ10705-80</x:v>
      </x:c>
      <x:c r="D611" s="16" t="str">
        <x:v>Трубы черные сварные малого и среднего диаметра</x:v>
      </x:c>
      <x:c r="E611" s="16" t="str">
        <x:v>Т</x:v>
      </x:c>
      <x:c r="F611" s="30" t="n">
        <x:v>0.002</x:v>
      </x:c>
      <x:c r="G611" s="17" t="n">
        <x:v>155550</x:v>
      </x:c>
      <x:c r="H611" s="17" t="n">
        <x:f>G611*F611</x:f>
        <x:v>311.1</x:v>
      </x:c>
      <x:c r="I611" s="22" t="str">
        <x:f>HYPERLINK("https://etp-aktiv.ru/catalog/materialy/truby-stalnye-i-polimernye/2000560528-U121/","Открыть позицию")</x:f>
        <x:v>Открыть позицию</x:v>
      </x:c>
    </x:row>
    <x:row r="612" ht="28" customHeight="1">
      <x:c r="A612" s="16" t="str">
        <x:v>Кемеровская теплосетевая компания</x:v>
      </x:c>
      <x:c r="B612" s="16" t="str">
        <x:v>2000560539-U121</x:v>
      </x:c>
      <x:c r="C612" s="16" t="str">
        <x:v>ТРУБА СТ20 57*3 ГОСТ10705-80</x:v>
      </x:c>
      <x:c r="D612" s="16" t="str">
        <x:v>Трубы черные сварные малого и среднего диаметра</x:v>
      </x:c>
      <x:c r="E612" s="16" t="str">
        <x:v>Т</x:v>
      </x:c>
      <x:c r="F612" s="30" t="n">
        <x:v>0.075</x:v>
      </x:c>
      <x:c r="G612" s="17" t="n">
        <x:v>62177.543999999994</x:v>
      </x:c>
      <x:c r="H612" s="17" t="n">
        <x:f>G612*F612</x:f>
        <x:v>4663.315799999999</x:v>
      </x:c>
      <x:c r="I612" s="22" t="str">
        <x:f>HYPERLINK("https://etp-aktiv.ru/catalog/materialy/truby-stalnye-i-polimernye/2000560539-U121/","Открыть позицию")</x:f>
        <x:v>Открыть позицию</x:v>
      </x:c>
    </x:row>
    <x:row r="613" ht="28" customHeight="1">
      <x:c r="A613" s="16" t="str">
        <x:v>Кемеровская теплосетевая компания</x:v>
      </x:c>
      <x:c r="B613" s="16" t="str">
        <x:v>2000925930-U121</x:v>
      </x:c>
      <x:c r="C613" s="16" t="str">
        <x:v>ТРУБА СТ20 57*3,5 ГОСТ10704-91</x:v>
      </x:c>
      <x:c r="D613" s="16" t="str">
        <x:v>@Трубы прочие</x:v>
      </x:c>
      <x:c r="E613" s="16" t="str">
        <x:v>Т</x:v>
      </x:c>
      <x:c r="F613" s="30" t="n">
        <x:v>0.076</x:v>
      </x:c>
      <x:c r="G613" s="17" t="n">
        <x:v>47184.268599999996</x:v>
      </x:c>
      <x:c r="H613" s="17" t="n">
        <x:f>G613*F613</x:f>
        <x:v>3586.0044135999997</x:v>
      </x:c>
      <x:c r="I613" s="22" t="str">
        <x:f>HYPERLINK("https://etp-aktiv.ru/catalog/materialy/truby-stalnye-i-polimernye/2000925930-U121/","Открыть позицию")</x:f>
        <x:v>Открыть позицию</x:v>
      </x:c>
    </x:row>
    <x:row r="614" ht="28" customHeight="1">
      <x:c r="A614" s="16" t="str">
        <x:v>Кемеровская теплосетевая компания</x:v>
      </x:c>
      <x:c r="B614" s="16" t="str">
        <x:v>2001007926-U121</x:v>
      </x:c>
      <x:c r="C614" s="16" t="str">
        <x:v>ТРУБА СТ20 57*4 ГОСТ8733-74</x:v>
      </x:c>
      <x:c r="D614" s="16" t="str">
        <x:v>Трубы черные бесшовные</x:v>
      </x:c>
      <x:c r="E614" s="16" t="str">
        <x:v>Т</x:v>
      </x:c>
      <x:c r="F614" s="30" t="n">
        <x:v>0.046</x:v>
      </x:c>
      <x:c r="G614" s="17" t="n">
        <x:v>126668.2324</x:v>
      </x:c>
      <x:c r="H614" s="17" t="n">
        <x:f>G614*F614</x:f>
        <x:v>5826.7386903999995</x:v>
      </x:c>
      <x:c r="I614" s="22" t="str">
        <x:f>HYPERLINK("https://etp-aktiv.ru/catalog/materialy/truby-stalnye-i-polimernye/2001007926-U121/","Открыть позицию")</x:f>
        <x:v>Открыть позицию</x:v>
      </x:c>
    </x:row>
    <x:row r="615" ht="28" customHeight="1">
      <x:c r="A615" s="16" t="str">
        <x:v>Кемеровская теплосетевая компания</x:v>
      </x:c>
      <x:c r="B615" s="16" t="str">
        <x:v>2000560597-U121</x:v>
      </x:c>
      <x:c r="C615" s="16" t="str">
        <x:v>ТРУБА СТ20 630*7 ГОСТ10705-80</x:v>
      </x:c>
      <x:c r="D615" s="16" t="str">
        <x:v>Трубы черные сварные большого диаметра</x:v>
      </x:c>
      <x:c r="E615" s="16" t="str">
        <x:v>Т</x:v>
      </x:c>
      <x:c r="F615" s="29" t="n">
        <x:v>1.127</x:v>
      </x:c>
      <x:c r="G615" s="17" t="n">
        <x:v>103386.53319999999</x:v>
      </x:c>
      <x:c r="H615" s="17" t="n">
        <x:f>G615*F615</x:f>
        <x:v>116516.6229164</x:v>
      </x:c>
      <x:c r="I615" s="22" t="str">
        <x:f>HYPERLINK("https://etp-aktiv.ru/catalog/materialy/truby-stalnye-i-polimernye/2000560597-U121/","Открыть позицию")</x:f>
        <x:v>Открыть позицию</x:v>
      </x:c>
    </x:row>
    <x:row r="616" ht="28" customHeight="1">
      <x:c r="A616" s="16" t="str">
        <x:v>Кемеровская теплосетевая компания</x:v>
      </x:c>
      <x:c r="B616" s="16" t="str">
        <x:v>2000771902-U121</x:v>
      </x:c>
      <x:c r="C616" s="16" t="str">
        <x:v>ТРУБА ТИП 3 17Г1С 630*9 К52 ГОСТ20295-85</x:v>
      </x:c>
      <x:c r="D616" s="16" t="str">
        <x:v>Трубы черные сварные большого диаметра</x:v>
      </x:c>
      <x:c r="E616" s="16" t="str">
        <x:v>Т</x:v>
      </x:c>
      <x:c r="F616" s="30" t="n">
        <x:v>0.032</x:v>
      </x:c>
      <x:c r="G616" s="17" t="n">
        <x:v>98725.35239999999</x:v>
      </x:c>
      <x:c r="H616" s="17" t="n">
        <x:f>G616*F616</x:f>
        <x:v>3159.2112767999997</x:v>
      </x:c>
      <x:c r="I616" s="22" t="str">
        <x:f>HYPERLINK("https://etp-aktiv.ru/catalog/materialy/truby-stalnye-i-polimernye/2000771902-U121/","Открыть позицию")</x:f>
        <x:v>Открыть позицию</x:v>
      </x:c>
    </x:row>
    <x:row r="617" ht="28" customHeight="1">
      <x:c r="A617" s="16" t="str">
        <x:v>Кемеровская теплосетевая компания</x:v>
      </x:c>
      <x:c r="B617" s="16" t="str">
        <x:v>2000560620-U121</x:v>
      </x:c>
      <x:c r="C617" s="16" t="str">
        <x:v>ТРУБА ТИП 3 17Г1С-У 820*9 К52 Г20295</x:v>
      </x:c>
      <x:c r="D617" s="16" t="str">
        <x:v>Трубы черные сварные большого диаметра</x:v>
      </x:c>
      <x:c r="E617" s="16" t="str">
        <x:v>Т</x:v>
      </x:c>
      <x:c r="F617" s="29" t="n">
        <x:v>11.011</x:v>
      </x:c>
      <x:c r="G617" s="17" t="n">
        <x:v>84788.9752</x:v>
      </x:c>
      <x:c r="H617" s="17" t="n">
        <x:f>G617*F617</x:f>
        <x:v>933611.4059272</x:v>
      </x:c>
      <x:c r="I617" s="22" t="str">
        <x:f>HYPERLINK("https://etp-aktiv.ru/catalog/materialy/truby-stalnye-i-polimernye/2000560620-U121/","Открыть позицию")</x:f>
        <x:v>Открыть позицию</x:v>
      </x:c>
    </x:row>
    <x:row r="618" ht="28" customHeight="1">
      <x:c r="A618" s="16" t="str">
        <x:v>Кемеровская теплосетевая компания</x:v>
      </x:c>
      <x:c r="B618" s="16" t="str">
        <x:v>2000999946-U121</x:v>
      </x:c>
      <x:c r="C618" s="16" t="str">
        <x:v>ТРУБА Э/С 09Г2С 159*7 ГОСТ10705-80</x:v>
      </x:c>
      <x:c r="D618" s="16" t="str">
        <x:v>@Трубы прочие</x:v>
      </x:c>
      <x:c r="E618" s="16" t="str">
        <x:v>Т</x:v>
      </x:c>
      <x:c r="F618" s="30" t="n">
        <x:v>0.785</x:v>
      </x:c>
      <x:c r="G618" s="17" t="n">
        <x:v>67221.3168</x:v>
      </x:c>
      <x:c r="H618" s="17" t="n">
        <x:f>G618*F618</x:f>
        <x:v>52768.733688</x:v>
      </x:c>
      <x:c r="I618" s="22" t="str">
        <x:f>HYPERLINK("https://etp-aktiv.ru/catalog/materialy/truby-stalnye-i-polimernye/2000999946-U121/","Открыть позицию")</x:f>
        <x:v>Открыть позицию</x:v>
      </x:c>
    </x:row>
    <x:row r="619" ht="28" customHeight="1">
      <x:c r="A619" s="16" t="str">
        <x:v>Кемеровская теплосетевая компания</x:v>
      </x:c>
      <x:c r="B619" s="16" t="str">
        <x:v>2001009566-U121</x:v>
      </x:c>
      <x:c r="C619" s="16" t="str">
        <x:v>ТРУБА Э/С 09Г2С 530*5 ГОСТ10705-80</x:v>
      </x:c>
      <x:c r="D619" s="16" t="str">
        <x:v>Трубы черные сварные большого диаметра</x:v>
      </x:c>
      <x:c r="E619" s="16" t="str">
        <x:v>Т</x:v>
      </x:c>
      <x:c r="F619" s="30" t="n">
        <x:v>0.899</x:v>
      </x:c>
      <x:c r="G619" s="17" t="n">
        <x:v>109800</x:v>
      </x:c>
      <x:c r="H619" s="17" t="n">
        <x:f>G619*F619</x:f>
        <x:v>98710.2</x:v>
      </x:c>
      <x:c r="I619" s="22" t="str">
        <x:f>HYPERLINK("https://etp-aktiv.ru/catalog/materialy/truby-stalnye-i-polimernye/2001009566-U121/","Открыть позицию")</x:f>
        <x:v>Открыть позицию</x:v>
      </x:c>
    </x:row>
    <x:row r="620" ht="28" customHeight="1">
      <x:c r="A620" s="16" t="str">
        <x:v>Кемеровская теплосетевая компания</x:v>
      </x:c>
      <x:c r="B620" s="16" t="str">
        <x:v>2000654283-U121</x:v>
      </x:c>
      <x:c r="C620" s="16" t="str">
        <x:v>ТРУБА Э/С 09Г2С Т 325*8 ГОСТ19281-89</x:v>
      </x:c>
      <x:c r="D620" s="16" t="str">
        <x:v>@Трубы прочие</x:v>
      </x:c>
      <x:c r="E620" s="16" t="str">
        <x:v>Т</x:v>
      </x:c>
      <x:c r="F620" s="30" t="n">
        <x:v>0.353</x:v>
      </x:c>
      <x:c r="G620" s="17" t="n">
        <x:v>77965.2834</x:v>
      </x:c>
      <x:c r="H620" s="17" t="n">
        <x:f>G620*F620</x:f>
        <x:v>27521.7450402</x:v>
      </x:c>
      <x:c r="I620" s="22" t="str">
        <x:f>HYPERLINK("https://etp-aktiv.ru/catalog/materialy/truby-stalnye-i-polimernye/2000654283-U121/","Открыть позицию")</x:f>
        <x:v>Открыть позицию</x:v>
      </x:c>
    </x:row>
    <x:row r="621" ht="28" customHeight="1">
      <x:c r="A621" s="16" t="str">
        <x:v>Кемеровская теплосетевая компания</x:v>
      </x:c>
      <x:c r="B621" s="16" t="str">
        <x:v>2000980580-U121</x:v>
      </x:c>
      <x:c r="C621" s="16" t="str">
        <x:v>ТРУБА Э/С СТ10 530*6 ГОСТ10705-80</x:v>
      </x:c>
      <x:c r="D621" s="16" t="str">
        <x:v>Трубы черные сварные большого диаметра</x:v>
      </x:c>
      <x:c r="E621" s="16" t="str">
        <x:v>Т</x:v>
      </x:c>
      <x:c r="F621" s="30" t="n">
        <x:v>0.163</x:v>
      </x:c>
      <x:c r="G621" s="17" t="n">
        <x:v>76210.5818</x:v>
      </x:c>
      <x:c r="H621" s="17" t="n">
        <x:f>G621*F621</x:f>
        <x:v>12422.3248334</x:v>
      </x:c>
      <x:c r="I621" s="22" t="str">
        <x:f>HYPERLINK("https://etp-aktiv.ru/catalog/materialy/truby-stalnye-i-polimernye/2000980580-U121/","Открыть позицию")</x:f>
        <x:v>Открыть позицию</x:v>
      </x:c>
    </x:row>
    <x:row r="622" ht="28" customHeight="1">
      <x:c r="A622" s="16" t="str">
        <x:v>Кемеровская теплосетевая компания</x:v>
      </x:c>
      <x:c r="B622" s="16" t="str">
        <x:v>2000484853-U121</x:v>
      </x:c>
      <x:c r="C622" s="16" t="str">
        <x:v>ТРУБА Э/С СТ20 159*4 ГОСТ10705-80</x:v>
      </x:c>
      <x:c r="D622" s="16" t="str">
        <x:v>Трубы черные сварные малого и среднего диаметра</x:v>
      </x:c>
      <x:c r="E622" s="16" t="str">
        <x:v>Т</x:v>
      </x:c>
      <x:c r="F622" s="30" t="n">
        <x:v>0.16</x:v>
      </x:c>
      <x:c r="G622" s="17" t="n">
        <x:v>44133.195</x:v>
      </x:c>
      <x:c r="H622" s="17" t="n">
        <x:f>G622*F622</x:f>
        <x:v>7061.3112</x:v>
      </x:c>
      <x:c r="I622" s="22" t="str">
        <x:f>HYPERLINK("https://etp-aktiv.ru/catalog/materialy/truby-stalnye-i-polimernye/2000484853-U121/","Открыть позицию")</x:f>
        <x:v>Открыть позицию</x:v>
      </x:c>
    </x:row>
    <x:row r="623" ht="28" customHeight="1">
      <x:c r="A623" s="16" t="str">
        <x:v>Кемеровская теплосетевая компания</x:v>
      </x:c>
      <x:c r="B623" s="16" t="str">
        <x:v>2000174415-U121</x:v>
      </x:c>
      <x:c r="C623" s="16" t="str">
        <x:v>ТРУБА Э/С СТ20 159*4,5 ГОСТ10705-80</x:v>
      </x:c>
      <x:c r="D623" s="16" t="str">
        <x:v>Трубы черные сварные малого и среднего диаметра</x:v>
      </x:c>
      <x:c r="E623" s="16" t="str">
        <x:v>Т</x:v>
      </x:c>
      <x:c r="F623" s="30" t="n">
        <x:v>0.365</x:v>
      </x:c>
      <x:c r="G623" s="17" t="n">
        <x:v>41499.9958</x:v>
      </x:c>
      <x:c r="H623" s="17" t="n">
        <x:f>G623*F623</x:f>
        <x:v>15147.498466999998</x:v>
      </x:c>
      <x:c r="I623" s="22" t="str">
        <x:f>HYPERLINK("https://etp-aktiv.ru/catalog/materialy/truby-stalnye-i-polimernye/2000174415-U121/","Открыть позицию")</x:f>
        <x:v>Открыть позицию</x:v>
      </x:c>
    </x:row>
    <x:row r="624" ht="28" customHeight="1">
      <x:c r="A624" s="16" t="str">
        <x:v>Кемеровская теплосетевая компания</x:v>
      </x:c>
      <x:c r="B624" s="16" t="str">
        <x:v>2000970904-U121</x:v>
      </x:c>
      <x:c r="C624" s="16" t="str">
        <x:v>ТРУБА Э/С СТ20 159*7 ГОСТ10705-80</x:v>
      </x:c>
      <x:c r="D624" s="16" t="str">
        <x:v>Трубы черные сварные малого и среднего диаметра</x:v>
      </x:c>
      <x:c r="E624" s="16" t="str">
        <x:v>Т</x:v>
      </x:c>
      <x:c r="F624" s="30" t="n">
        <x:v>0.012</x:v>
      </x:c>
      <x:c r="G624" s="17" t="n">
        <x:v>91500</x:v>
      </x:c>
      <x:c r="H624" s="17" t="n">
        <x:f>G624*F624</x:f>
        <x:v>1098</x:v>
      </x:c>
      <x:c r="I624" s="22" t="str">
        <x:f>HYPERLINK("https://etp-aktiv.ru/catalog/materialy/truby-stalnye-i-polimernye/2000970904-U121/","Открыть позицию")</x:f>
        <x:v>Открыть позицию</x:v>
      </x:c>
    </x:row>
    <x:row r="625" ht="28" customHeight="1">
      <x:c r="A625" s="16" t="str">
        <x:v>Кемеровская теплосетевая компания</x:v>
      </x:c>
      <x:c r="B625" s="16" t="str">
        <x:v>2000015954-U121</x:v>
      </x:c>
      <x:c r="C625" s="16" t="str">
        <x:v>ТРУБА Э/С СТ20 273*6 ГОСТ10705-80</x:v>
      </x:c>
      <x:c r="D625" s="16" t="str">
        <x:v>Трубы черные сварные малого и среднего диаметра</x:v>
      </x:c>
      <x:c r="E625" s="16" t="str">
        <x:v>Т</x:v>
      </x:c>
      <x:c r="F625" s="30" t="n">
        <x:v>0.407</x:v>
      </x:c>
      <x:c r="G625" s="17" t="n">
        <x:v>67100</x:v>
      </x:c>
      <x:c r="H625" s="17" t="n">
        <x:f>G625*F625</x:f>
        <x:v>27309.699999999997</x:v>
      </x:c>
      <x:c r="I625" s="22" t="str">
        <x:f>HYPERLINK("https://etp-aktiv.ru/catalog/materialy/truby-stalnye-i-polimernye/2000015954-U121/","Открыть позицию")</x:f>
        <x:v>Открыть позицию</x:v>
      </x:c>
    </x:row>
    <x:row r="626" ht="28" customHeight="1">
      <x:c r="A626" s="16" t="str">
        <x:v>Кемеровская теплосетевая компания</x:v>
      </x:c>
      <x:c r="B626" s="16" t="str">
        <x:v>2000970907-U121</x:v>
      </x:c>
      <x:c r="C626" s="16" t="str">
        <x:v>ТРУБА Э/С СТ20 32*3,5 ГОСТ10705-80</x:v>
      </x:c>
      <x:c r="D626" s="16" t="str">
        <x:v>Трубы черные сварные малого и среднего диаметра</x:v>
      </x:c>
      <x:c r="E626" s="16" t="str">
        <x:v>Т</x:v>
      </x:c>
      <x:c r="F626" s="30" t="n">
        <x:v>0.139</x:v>
      </x:c>
      <x:c r="G626" s="17" t="n">
        <x:v>161955</x:v>
      </x:c>
      <x:c r="H626" s="17" t="n">
        <x:f>G626*F626</x:f>
        <x:v>22511.745000000003</x:v>
      </x:c>
      <x:c r="I626" s="22" t="str">
        <x:f>HYPERLINK("https://etp-aktiv.ru/catalog/materialy/truby-stalnye-i-polimernye/2000970907-U121/","Открыть позицию")</x:f>
        <x:v>Открыть позицию</x:v>
      </x:c>
    </x:row>
    <x:row r="627" ht="28" customHeight="1">
      <x:c r="A627" s="16" t="str">
        <x:v>Кемеровская теплосетевая компания</x:v>
      </x:c>
      <x:c r="B627" s="16" t="str">
        <x:v>2000913986-U121</x:v>
      </x:c>
      <x:c r="C627" s="16" t="str">
        <x:v>ТРУБА Э/С СТ20 38*2 ГОСТ10705-80</x:v>
      </x:c>
      <x:c r="D627" s="16" t="str">
        <x:v>Трубы черные сварные малого и среднего диаметра</x:v>
      </x:c>
      <x:c r="E627" s="16" t="str">
        <x:v>Т</x:v>
      </x:c>
      <x:c r="F627" s="30" t="n">
        <x:v>0.052</x:v>
      </x:c>
      <x:c r="G627" s="17" t="n">
        <x:v>64812.439</x:v>
      </x:c>
      <x:c r="H627" s="17" t="n">
        <x:f>G627*F627</x:f>
        <x:v>3370.246828</x:v>
      </x:c>
      <x:c r="I627" s="22" t="str">
        <x:f>HYPERLINK("https://etp-aktiv.ru/catalog/materialy/truby-stalnye-i-polimernye/2000913986-U121/","Открыть позицию")</x:f>
        <x:v>Открыть позицию</x:v>
      </x:c>
    </x:row>
    <x:row r="628" ht="28" customHeight="1">
      <x:c r="A628" s="16" t="str">
        <x:v>Кемеровская теплосетевая компания</x:v>
      </x:c>
      <x:c r="B628" s="16" t="str">
        <x:v>2000706459-U121</x:v>
      </x:c>
      <x:c r="C628" s="16" t="str">
        <x:v>ТРУБА Э/С СТ20 57*3,5 ГОСТ10705-80</x:v>
      </x:c>
      <x:c r="D628" s="16" t="str">
        <x:v>Трубы черные сварные малого и среднего диаметра</x:v>
      </x:c>
      <x:c r="E628" s="16" t="str">
        <x:v>Т</x:v>
      </x:c>
      <x:c r="F628" s="30" t="n">
        <x:v>0.18</x:v>
      </x:c>
      <x:c r="G628" s="17" t="n">
        <x:v>44133.182799999995</x:v>
      </x:c>
      <x:c r="H628" s="17" t="n">
        <x:f>G628*F628</x:f>
        <x:v>7943.972903999998</x:v>
      </x:c>
      <x:c r="I628" s="22" t="str">
        <x:f>HYPERLINK("https://etp-aktiv.ru/catalog/materialy/truby-stalnye-i-polimernye/2000706459-U121/","Открыть позицию")</x:f>
        <x:v>Открыть позицию</x:v>
      </x:c>
    </x:row>
    <x:row r="629" ht="28" customHeight="1">
      <x:c r="A629" s="16" t="str">
        <x:v>Кемеровская теплосетевая компания</x:v>
      </x:c>
      <x:c r="B629" s="16" t="str">
        <x:v>2000169795-U121</x:v>
      </x:c>
      <x:c r="C629" s="16" t="str">
        <x:v>ТРУБА Э/С СТ20 630*8 ГОСТ10705-80</x:v>
      </x:c>
      <x:c r="D629" s="16" t="str">
        <x:v>Трубы черные сварные большого диаметра</x:v>
      </x:c>
      <x:c r="E629" s="16" t="str">
        <x:v>Т</x:v>
      </x:c>
      <x:c r="F629" s="30" t="n">
        <x:v>0.408</x:v>
      </x:c>
      <x:c r="G629" s="17" t="n">
        <x:v>91500</x:v>
      </x:c>
      <x:c r="H629" s="17" t="n">
        <x:f>G629*F629</x:f>
        <x:v>37332</x:v>
      </x:c>
      <x:c r="I629" s="22" t="str">
        <x:f>HYPERLINK("https://etp-aktiv.ru/catalog/materialy/truby-stalnye-i-polimernye/2000169795-U121/","Открыть позицию")</x:f>
        <x:v>Открыть позицию</x:v>
      </x:c>
    </x:row>
    <x:row r="630" ht="28" customHeight="1">
      <x:c r="A630" s="16" t="str">
        <x:v>Кемеровская теплосетевая компания</x:v>
      </x:c>
      <x:c r="B630" s="16" t="str">
        <x:v>2000979665-U121</x:v>
      </x:c>
      <x:c r="C630" s="16" t="str">
        <x:v>ТРУБА Э/С СТ20 920*10 ГОСТ10705-80</x:v>
      </x:c>
      <x:c r="D630" s="16" t="str">
        <x:v>Трубы черные сварные большого диаметра</x:v>
      </x:c>
      <x:c r="E630" s="16" t="str">
        <x:v>Т</x:v>
      </x:c>
      <x:c r="F630" s="29" t="n">
        <x:v>2.323</x:v>
      </x:c>
      <x:c r="G630" s="17" t="n">
        <x:v>110715</x:v>
      </x:c>
      <x:c r="H630" s="17" t="n">
        <x:f>G630*F630</x:f>
        <x:v>257190.945</x:v>
      </x:c>
      <x:c r="I630" s="22" t="str">
        <x:f>HYPERLINK("https://etp-aktiv.ru/catalog/materialy/truby-stalnye-i-polimernye/2000979665-U121/","Открыть позицию")</x:f>
        <x:v>Открыть позицию</x:v>
      </x:c>
    </x:row>
    <x:row r="631" ht="28" customHeight="1">
      <x:c r="A631" s="16" t="str">
        <x:v>Кемеровская теплосетевая компания</x:v>
      </x:c>
      <x:c r="B631" s="16" t="str">
        <x:v>2000554767-U121</x:v>
      </x:c>
      <x:c r="C631" s="16" t="str">
        <x:v>ФЛАНЕЦ СТ20 DN15 PN16 ИСП.1 ГОСТ33259</x:v>
      </x:c>
      <x:c r="D631" s="16" t="str">
        <x:v>Детали фасонные</x:v>
      </x:c>
      <x:c r="E631" s="16" t="str">
        <x:v>ШТ</x:v>
      </x:c>
      <x:c r="F631" s="21" t="n">
        <x:v>10</x:v>
      </x:c>
      <x:c r="G631" s="17" t="n">
        <x:v>233.325</x:v>
      </x:c>
      <x:c r="H631" s="17" t="n">
        <x:f>G631*F631</x:f>
        <x:v>2333.25</x:v>
      </x:c>
      <x:c r="I631" s="22" t="str">
        <x:f>HYPERLINK("https://etp-aktiv.ru/catalog/materialy/truboprovody/2000554767-U121/","Открыть позицию")</x:f>
        <x:v>Открыть позицию</x:v>
      </x:c>
    </x:row>
    <x:row r="632" ht="28" customHeight="1">
      <x:c r="A632" s="16" t="str">
        <x:v>Кемеровская теплосетевая компания</x:v>
      </x:c>
      <x:c r="B632" s="16" t="str">
        <x:v>2000713612-U121</x:v>
      </x:c>
      <x:c r="C632" s="16" t="str">
        <x:v>ФЛАНЕЦ СТ20 DN20 PN16 ИСП1В ГОСТ33259-15</x:v>
      </x:c>
      <x:c r="D632" s="16" t="str">
        <x:v>Детали фасонные</x:v>
      </x:c>
      <x:c r="E632" s="16" t="str">
        <x:v>ШТ</x:v>
      </x:c>
      <x:c r="F632" s="21" t="n">
        <x:v>8</x:v>
      </x:c>
      <x:c r="G632" s="17" t="n">
        <x:v>290.0062</x:v>
      </x:c>
      <x:c r="H632" s="17" t="n">
        <x:f>G632*F632</x:f>
        <x:v>2320.0496</x:v>
      </x:c>
      <x:c r="I632" s="22" t="str">
        <x:f>HYPERLINK("https://etp-aktiv.ru/catalog/materialy/truboprovody/2000713612-U121/","Открыть позицию")</x:f>
        <x:v>Открыть позицию</x:v>
      </x:c>
    </x:row>
    <x:row r="633" ht="28" customHeight="1">
      <x:c r="A633" s="16" t="str">
        <x:v>Кемеровская теплосетевая компания</x:v>
      </x:c>
      <x:c r="B633" s="16" t="str">
        <x:v>2000554810-U121</x:v>
      </x:c>
      <x:c r="C633" s="16" t="str">
        <x:v>ФЛАНЕЦ СТ20 DN25 PN16 01-1-B-IV Г33259</x:v>
      </x:c>
      <x:c r="D633" s="16" t="str">
        <x:v>Детали фасонные</x:v>
      </x:c>
      <x:c r="E633" s="16" t="str">
        <x:v>ШТ</x:v>
      </x:c>
      <x:c r="F633" s="21" t="n">
        <x:v>2</x:v>
      </x:c>
      <x:c r="G633" s="17" t="n">
        <x:v>269.925</x:v>
      </x:c>
      <x:c r="H633" s="17" t="n">
        <x:f>G633*F633</x:f>
        <x:v>539.85</x:v>
      </x:c>
      <x:c r="I633" s="22" t="str">
        <x:f>HYPERLINK("https://etp-aktiv.ru/catalog/materialy/truboprovody/2000554810-U121/","Открыть позицию")</x:f>
        <x:v>Открыть позицию</x:v>
      </x:c>
    </x:row>
    <x:row r="634" ht="28" customHeight="1">
      <x:c r="A634" s="16" t="str">
        <x:v>Кемеровская теплосетевая компания</x:v>
      </x:c>
      <x:c r="B634" s="16" t="str">
        <x:v>2000554826-U121</x:v>
      </x:c>
      <x:c r="C634" s="16" t="str">
        <x:v>ФЛАНЕЦ СТ20 DN32 PN16 01-1-B-IV Г33259</x:v>
      </x:c>
      <x:c r="D634" s="16" t="str">
        <x:v>Детали фасонные</x:v>
      </x:c>
      <x:c r="E634" s="16" t="str">
        <x:v>ШТ</x:v>
      </x:c>
      <x:c r="F634" s="21" t="n">
        <x:v>16</x:v>
      </x:c>
      <x:c r="G634" s="17" t="n">
        <x:v>324.825</x:v>
      </x:c>
      <x:c r="H634" s="17" t="n">
        <x:f>G634*F634</x:f>
        <x:v>5197.2</x:v>
      </x:c>
      <x:c r="I634" s="22" t="str">
        <x:f>HYPERLINK("https://etp-aktiv.ru/catalog/materialy/truboprovody/2000554826-U121/","Открыть позицию")</x:f>
        <x:v>Открыть позицию</x:v>
      </x:c>
    </x:row>
    <x:row r="635" ht="28" customHeight="1">
      <x:c r="A635" s="16" t="str">
        <x:v>Кемеровская теплосетевая компания</x:v>
      </x:c>
      <x:c r="B635" s="16" t="str">
        <x:v>2000554838-U121</x:v>
      </x:c>
      <x:c r="C635" s="16" t="str">
        <x:v>ФЛАНЕЦ СТ20 DN40 PN16 01-1-B-IV Г33259</x:v>
      </x:c>
      <x:c r="D635" s="16" t="str">
        <x:v>Детали фасонные</x:v>
      </x:c>
      <x:c r="E635" s="16" t="str">
        <x:v>ШТ</x:v>
      </x:c>
      <x:c r="F635" s="21" t="n">
        <x:v>6</x:v>
      </x:c>
      <x:c r="G635" s="17" t="n">
        <x:v>361.425</x:v>
      </x:c>
      <x:c r="H635" s="17" t="n">
        <x:f>G635*F635</x:f>
        <x:v>2168.55</x:v>
      </x:c>
      <x:c r="I635" s="22" t="str">
        <x:f>HYPERLINK("https://etp-aktiv.ru/catalog/materialy/truboprovody/2000554838-U121/","Открыть позицию")</x:f>
        <x:v>Открыть позицию</x:v>
      </x:c>
    </x:row>
    <x:row r="636" ht="28" customHeight="1">
      <x:c r="A636" s="16" t="str">
        <x:v>Кемеровская теплосетевая компания</x:v>
      </x:c>
      <x:c r="B636" s="16" t="str">
        <x:v>2000554844-U121</x:v>
      </x:c>
      <x:c r="C636" s="16" t="str">
        <x:v>ФЛАНЕЦ СТ20 DN50 PN16 01-1-B-IV Г33259</x:v>
      </x:c>
      <x:c r="D636" s="16" t="str">
        <x:v>Детали фасонные</x:v>
      </x:c>
      <x:c r="E636" s="16" t="str">
        <x:v>ШТ</x:v>
      </x:c>
      <x:c r="F636" s="21" t="n">
        <x:v>2</x:v>
      </x:c>
      <x:c r="G636" s="17" t="n">
        <x:v>498.9068</x:v>
      </x:c>
      <x:c r="H636" s="17" t="n">
        <x:f>G636*F636</x:f>
        <x:v>997.8136</x:v>
      </x:c>
      <x:c r="I636" s="22" t="str">
        <x:f>HYPERLINK("https://etp-aktiv.ru/catalog/materialy/truboprovody/2000554844-U121/","Открыть позицию")</x:f>
        <x:v>Открыть позицию</x:v>
      </x:c>
    </x:row>
    <x:row r="637" ht="28" customHeight="1">
      <x:c r="A637" s="16" t="str">
        <x:v>Кемеровская теплосетевая компания</x:v>
      </x:c>
      <x:c r="B637" s="16" t="str">
        <x:v>2000554768-U121</x:v>
      </x:c>
      <x:c r="C637" s="16" t="str">
        <x:v>ФЛАНЕЦ СТ20 DN57 PN1,0 ИСП.1 ГОСТ12820</x:v>
      </x:c>
      <x:c r="D637" s="16" t="str">
        <x:v>Детали фасонные</x:v>
      </x:c>
      <x:c r="E637" s="16" t="str">
        <x:v>ШТ</x:v>
      </x:c>
      <x:c r="F637" s="21" t="n">
        <x:v>4</x:v>
      </x:c>
      <x:c r="G637" s="17" t="n">
        <x:v>361.91299999999995</x:v>
      </x:c>
      <x:c r="H637" s="17" t="n">
        <x:f>G637*F637</x:f>
        <x:v>1447.6519999999998</x:v>
      </x:c>
      <x:c r="I637" s="22" t="str">
        <x:f>HYPERLINK("https://etp-aktiv.ru/catalog/materialy/truboprovody/2000554768-U121/","Открыть позицию")</x:f>
        <x:v>Открыть позицию</x:v>
      </x:c>
    </x:row>
    <x:row r="638" ht="28" customHeight="1">
      <x:c r="A638" s="16" t="str">
        <x:v>Кемеровская теплосетевая компания</x:v>
      </x:c>
      <x:c r="B638" s="16" t="str">
        <x:v>2000554784-U121</x:v>
      </x:c>
      <x:c r="C638" s="16" t="str">
        <x:v>ФЛАНЕЦ СТ20 DN80 PN1,6 ИСП.1 ГОСТ12820</x:v>
      </x:c>
      <x:c r="D638" s="16" t="str">
        <x:v>Детали фасонные</x:v>
      </x:c>
      <x:c r="E638" s="16" t="str">
        <x:v>ШТ</x:v>
      </x:c>
      <x:c r="F638" s="21" t="n">
        <x:v>8</x:v>
      </x:c>
      <x:c r="G638" s="17" t="n">
        <x:v>628.6415999999999</x:v>
      </x:c>
      <x:c r="H638" s="17" t="n">
        <x:f>G638*F638</x:f>
        <x:v>5029.132799999999</x:v>
      </x:c>
      <x:c r="I638" s="22" t="str">
        <x:f>HYPERLINK("https://etp-aktiv.ru/catalog/materialy/truboprovody/2000554784-U121/","Открыть позицию")</x:f>
        <x:v>Открыть позицию</x:v>
      </x:c>
    </x:row>
    <x:row r="639" ht="28" customHeight="1">
      <x:c r="A639" s="16" t="str">
        <x:v>Кемеровская теплосетевая компания</x:v>
      </x:c>
      <x:c r="B639" s="16" t="str">
        <x:v>2000554850-U121</x:v>
      </x:c>
      <x:c r="C639" s="16" t="str">
        <x:v>ФЛАНЕЦ СТ20 DN80 PN16 01-1-B-IV Г33259</x:v>
      </x:c>
      <x:c r="D639" s="16" t="str">
        <x:v>Детали фасонные</x:v>
      </x:c>
      <x:c r="E639" s="16" t="str">
        <x:v>ШТ</x:v>
      </x:c>
      <x:c r="F639" s="21" t="n">
        <x:v>8</x:v>
      </x:c>
      <x:c r="G639" s="17" t="n">
        <x:v>537.41</x:v>
      </x:c>
      <x:c r="H639" s="17" t="n">
        <x:f>G639*F639</x:f>
        <x:v>4299.28</x:v>
      </x:c>
      <x:c r="I639" s="22" t="str">
        <x:f>HYPERLINK("https://etp-aktiv.ru/catalog/materialy/truboprovody/2000554850-U121/","Открыть позицию")</x:f>
        <x:v>Открыть позицию</x:v>
      </x:c>
    </x:row>
    <x:row r="640" ht="28" customHeight="1">
      <x:c r="A640" s="16" t="str">
        <x:v>Кемеровская теплосетевая компания</x:v>
      </x:c>
      <x:c r="B640" s="16" t="str">
        <x:v>2000699891-U121</x:v>
      </x:c>
      <x:c r="C640" s="16" t="str">
        <x:v>ХОМУТ ОПОР 756*670*100 ТС-626.00.001-12</x:v>
      </x:c>
      <x:c r="D640" s="16" t="str">
        <x:v>Система опорно-подвесная</x:v>
      </x:c>
      <x:c r="E640" s="16" t="str">
        <x:v>ШТ</x:v>
      </x:c>
      <x:c r="F640" s="21" t="n">
        <x:v>26</x:v>
      </x:c>
      <x:c r="G640" s="17" t="n">
        <x:v>1157.2066</x:v>
      </x:c>
      <x:c r="H640" s="17" t="n">
        <x:f>G640*F640</x:f>
        <x:v>30087.3716</x:v>
      </x:c>
      <x:c r="I640" s="22" t="str">
        <x:f>HYPERLINK("https://etp-aktiv.ru/catalog/materialy/truboprovody/2000699891-U121/","Открыть позицию")</x:f>
        <x:v>Открыть позицию</x:v>
      </x:c>
    </x:row>
    <x:row r="641" ht="28" customHeight="1">
      <x:c r="A641" s="16" t="str">
        <x:v>Кемеровская теплосетевая компания</x:v>
      </x:c>
      <x:c r="B641" s="16" t="str">
        <x:v>2000972885-U121</x:v>
      </x:c>
      <x:c r="C641" s="16" t="str">
        <x:v>ШТУЦЕР 09Г2С 108*3,5-150 ТС592-102</x:v>
      </x:c>
      <x:c r="D641" s="16" t="str">
        <x:v>Детали фасонные</x:v>
      </x:c>
      <x:c r="E641" s="16" t="str">
        <x:v>ШТ</x:v>
      </x:c>
      <x:c r="F641" s="21" t="n">
        <x:v>2</x:v>
      </x:c>
      <x:c r="G641" s="17" t="n">
        <x:v>1399.9987999999998</x:v>
      </x:c>
      <x:c r="H641" s="17" t="n">
        <x:f>G641*F641</x:f>
        <x:v>2799.9975999999997</x:v>
      </x:c>
      <x:c r="I641" s="22" t="str">
        <x:f>HYPERLINK("https://etp-aktiv.ru/catalog/materialy/truboprovody/2000972885-U121/","Открыть позицию")</x:f>
        <x:v>Открыть позицию</x:v>
      </x:c>
    </x:row>
    <x:row r="642" ht="28" customHeight="1">
      <x:c r="A642" s="16" t="str">
        <x:v>Кемеровская теплосетевая компания</x:v>
      </x:c>
      <x:c r="B642" s="16" t="str">
        <x:v>2000736866-U121</x:v>
      </x:c>
      <x:c r="C642" s="16" t="str">
        <x:v>ШТУЦЕР 09Г2С 18*2-150 014 ОСТ34.10.761</x:v>
      </x:c>
      <x:c r="D642" s="16" t="str">
        <x:v>Детали фасонные</x:v>
      </x:c>
      <x:c r="E642" s="16" t="str">
        <x:v>ШТ</x:v>
      </x:c>
      <x:c r="F642" s="21" t="n">
        <x:v>2</x:v>
      </x:c>
      <x:c r="G642" s="17" t="n">
        <x:v>544.425</x:v>
      </x:c>
      <x:c r="H642" s="17" t="n">
        <x:f>G642*F642</x:f>
        <x:v>1088.85</x:v>
      </x:c>
      <x:c r="I642" s="22" t="str">
        <x:f>HYPERLINK("https://etp-aktiv.ru/catalog/materialy/truboprovody/2000736866-U121/","Открыть позицию")</x:f>
        <x:v>Открыть позицию</x:v>
      </x:c>
    </x:row>
    <x:row r="643" ht="28" customHeight="1">
      <x:c r="A643" s="16" t="str">
        <x:v>Кемеровская теплосетевая компания</x:v>
      </x:c>
      <x:c r="B643" s="16" t="str">
        <x:v>2000261276-U121</x:v>
      </x:c>
      <x:c r="C643" s="16" t="str">
        <x:v>ШТУЦЕР 09Г2С 219*2,5 800 PN25 ТС-592-155</x:v>
      </x:c>
      <x:c r="D643" s="16" t="str">
        <x:v>Детали фасонные</x:v>
      </x:c>
      <x:c r="E643" s="16" t="str">
        <x:v>ШТ</x:v>
      </x:c>
      <x:c r="F643" s="21" t="n">
        <x:v>2</x:v>
      </x:c>
      <x:c r="G643" s="17" t="n">
        <x:v>4570.425</x:v>
      </x:c>
      <x:c r="H643" s="17" t="n">
        <x:f>G643*F643</x:f>
        <x:v>9140.85</x:v>
      </x:c>
      <x:c r="I643" s="22" t="str">
        <x:f>HYPERLINK("https://etp-aktiv.ru/catalog/materialy/truboprovody/2000261276-U121/","Открыть позицию")</x:f>
        <x:v>Открыть позицию</x:v>
      </x:c>
    </x:row>
    <x:row r="644" ht="28" customHeight="1">
      <x:c r="A644" s="16" t="str">
        <x:v>Кемеровская теплосетевая компания</x:v>
      </x:c>
      <x:c r="B644" s="16" t="str">
        <x:v>2000880958-U121</x:v>
      </x:c>
      <x:c r="C644" s="16" t="str">
        <x:v>ШТУЦЕР 09Г2С 89*3-800 ТС-592-098</x:v>
      </x:c>
      <x:c r="D644" s="16" t="str">
        <x:v>Детали фасонные</x:v>
      </x:c>
      <x:c r="E644" s="16" t="str">
        <x:v>ШТ</x:v>
      </x:c>
      <x:c r="F644" s="21" t="n">
        <x:v>2</x:v>
      </x:c>
      <x:c r="G644" s="17" t="n">
        <x:v>644.16</x:v>
      </x:c>
      <x:c r="H644" s="17" t="n">
        <x:f>G644*F644</x:f>
        <x:v>1288.32</x:v>
      </x:c>
      <x:c r="I644" s="22" t="str">
        <x:f>HYPERLINK("https://etp-aktiv.ru/catalog/materialy/truboprovody/2000880958-U121/","Открыть позицию")</x:f>
        <x:v>Открыть позицию</x:v>
      </x:c>
    </x:row>
    <x:row r="645" ht="28" customHeight="1">
      <x:c r="A645" s="16" t="str">
        <x:v>Кемеровская теплосетевая компания</x:v>
      </x:c>
      <x:c r="B645" s="16" t="str">
        <x:v>2000747058-U121</x:v>
      </x:c>
      <x:c r="C645" s="16" t="str">
        <x:v>ШТУЦЕР В 09Г2С 45*2,5 125 1,6 ТС-592-062</x:v>
      </x:c>
      <x:c r="D645" s="16" t="str">
        <x:v>Детали фасонные</x:v>
      </x:c>
      <x:c r="E645" s="16" t="str">
        <x:v>ШТ</x:v>
      </x:c>
      <x:c r="F645" s="21" t="n">
        <x:v>4</x:v>
      </x:c>
      <x:c r="G645" s="17" t="n">
        <x:v>385.8372</x:v>
      </x:c>
      <x:c r="H645" s="17" t="n">
        <x:f>G645*F645</x:f>
        <x:v>1543.3488</x:v>
      </x:c>
      <x:c r="I645" s="22" t="str">
        <x:f>HYPERLINK("https://etp-aktiv.ru/catalog/materialy/truboprovody/2000747058-U121/","Открыть позицию")</x:f>
        <x:v>Открыть позицию</x:v>
      </x:c>
    </x:row>
    <x:row r="646" ht="28" customHeight="1">
      <x:c r="A646" s="16" t="str">
        <x:v>Кемеровская теплосетевая компания</x:v>
      </x:c>
      <x:c r="B646" s="16" t="str">
        <x:v>2000555353-U121</x:v>
      </x:c>
      <x:c r="C646" s="16" t="str">
        <x:v>ШТУЦЕР В-СТ20 18*2-150 014 ОСТ34.10.761</x:v>
      </x:c>
      <x:c r="D646" s="16" t="str">
        <x:v>Детали фасонные</x:v>
      </x:c>
      <x:c r="E646" s="16" t="str">
        <x:v>ШТ</x:v>
      </x:c>
      <x:c r="F646" s="21" t="n">
        <x:v>1</x:v>
      </x:c>
      <x:c r="G646" s="17" t="n">
        <x:v>544.425</x:v>
      </x:c>
      <x:c r="H646" s="17" t="n">
        <x:f>G646*F646</x:f>
        <x:v>544.425</x:v>
      </x:c>
      <x:c r="I646" s="22" t="str">
        <x:f>HYPERLINK("https://etp-aktiv.ru/catalog/materialy/truboprovody/2000555353-U121/","Открыть позицию")</x:f>
        <x:v>Открыть позицию</x:v>
      </x:c>
    </x:row>
    <x:row r="647" ht="28" customHeight="1">
      <x:c r="A647" s="16" t="str">
        <x:v>Кемеровская теплосетевая компания</x:v>
      </x:c>
      <x:c r="B647" s="16" t="str">
        <x:v>2000555352-U121</x:v>
      </x:c>
      <x:c r="C647" s="16" t="str">
        <x:v>ШТУЦЕР СТ10Г2 18*2-100 014 ОСТ34.10.761</x:v>
      </x:c>
      <x:c r="D647" s="16" t="str">
        <x:v>Детали фасонные</x:v>
      </x:c>
      <x:c r="E647" s="16" t="str">
        <x:v>ШТ</x:v>
      </x:c>
      <x:c r="F647" s="21" t="n">
        <x:v>3</x:v>
      </x:c>
      <x:c r="G647" s="17" t="n">
        <x:v>590.0042</x:v>
      </x:c>
      <x:c r="H647" s="17" t="n">
        <x:f>G647*F647</x:f>
        <x:v>1770.0126</x:v>
      </x:c>
      <x:c r="I647" s="22" t="str">
        <x:f>HYPERLINK("https://etp-aktiv.ru/catalog/materialy/truboprovody/2000555352-U121/","Открыть позицию")</x:f>
        <x:v>Открыть позицию</x:v>
      </x:c>
    </x:row>
    <x:row r="648" ht="28" customHeight="1">
      <x:c r="A648" s="16" t="str">
        <x:v>Кемеровская теплосетевая компания</x:v>
      </x:c>
      <x:c r="B648" s="16" t="str">
        <x:v>2000568355-U121</x:v>
      </x:c>
      <x:c r="C648" s="16" t="str">
        <x:v>ШТУЦЕР СТ20 18*2-32 ТС-592-007</x:v>
      </x:c>
      <x:c r="D648" s="16" t="str">
        <x:v>Детали фасонные</x:v>
      </x:c>
      <x:c r="E648" s="16" t="str">
        <x:v>ШТ</x:v>
      </x:c>
      <x:c r="F648" s="21" t="n">
        <x:v>2</x:v>
      </x:c>
      <x:c r="G648" s="17" t="n">
        <x:v>544.425</x:v>
      </x:c>
      <x:c r="H648" s="17" t="n">
        <x:f>G648*F648</x:f>
        <x:v>1088.85</x:v>
      </x:c>
      <x:c r="I648" s="22" t="str">
        <x:f>HYPERLINK("https://etp-aktiv.ru/catalog/materialy/truboprovody/2000568355-U121/","Открыть позицию")</x:f>
        <x:v>Открыть позицию</x:v>
      </x:c>
    </x:row>
    <x:row r="649" ht="28" customHeight="1">
      <x:c r="A649" s="16" t="str">
        <x:v>Кемеровская теплосетевая компания</x:v>
      </x:c>
      <x:c r="B649" s="16" t="str">
        <x:v>2000919279-U121</x:v>
      </x:c>
      <x:c r="C649" s="16" t="str">
        <x:v>ЭЛЕКТРОПРИВОД TSL-1600-25-1-230-IP67</x:v>
      </x:c>
      <x:c r="D649" s="16" t="str">
        <x:v>Приводы арматуры</x:v>
      </x:c>
      <x:c r="E649" s="16" t="str">
        <x:v>ШТ</x:v>
      </x:c>
      <x:c r="F649" s="21" t="n">
        <x:v>1</x:v>
      </x:c>
      <x:c r="G649" s="17" t="n">
        <x:v>37613.3686</x:v>
      </x:c>
      <x:c r="H649" s="17" t="n">
        <x:f>G649*F649</x:f>
        <x:v>37613.3686</x:v>
      </x:c>
      <x:c r="I649" s="22" t="str">
        <x:f>HYPERLINK("https://etp-aktiv.ru/catalog/materialy/truboprovodnaya-armatura-i-komplektuyushchie/2000919279-U121/","Открыть позицию")</x:f>
        <x:v>Открыть позицию</x:v>
      </x:c>
    </x:row>
    <x:row r="650" ht="28" customHeight="1">
      <x:c r="A650" s="16" t="str">
        <x:v>Кемеровская теплосетевая компания</x:v>
      </x:c>
      <x:c r="B650" s="16" t="str">
        <x:v>2001041306-U121</x:v>
      </x:c>
      <x:c r="C650" s="16" t="str">
        <x:v>ЭЛЕМЕНТ 09Г2С 219*7 1-ППУ-ПЭ 650-ЗМ СОДК</x:v>
      </x:c>
      <x:c r="D650" s="16" t="str">
        <x:v>Трубы и элементы трубопроводов теплоизолиров и футерованных</x:v>
      </x:c>
      <x:c r="E650" s="16" t="str">
        <x:v>ШТ</x:v>
      </x:c>
      <x:c r="F650" s="21" t="n">
        <x:v>3</x:v>
      </x:c>
      <x:c r="G650" s="17" t="n">
        <x:v>19892.1</x:v>
      </x:c>
      <x:c r="H650" s="17" t="n">
        <x:f>G650*F650</x:f>
        <x:v>59676.299999999996</x:v>
      </x:c>
      <x:c r="I650" s="22" t="str">
        <x:f>HYPERLINK("https://etp-aktiv.ru/catalog/materialy/truboprovody/2001041306-U121/","Открыть позицию")</x:f>
        <x:v>Открыть позицию</x:v>
      </x:c>
    </x:row>
    <x:row r="651" ht="28" customHeight="1">
      <x:c r="A651" s="16" t="str">
        <x:v>Кемеровская теплосетевая компания</x:v>
      </x:c>
      <x:c r="B651" s="16" t="str">
        <x:v>2001041445-U121</x:v>
      </x:c>
      <x:c r="C651" s="16" t="str">
        <x:v>ЭЛЕМЕНТ 09Г2С 57*4 1-ППУ-ПЭ 650-ЗМ СОДК</x:v>
      </x:c>
      <x:c r="D651" s="16" t="str">
        <x:v>Трубы и элементы трубопроводов теплоизолиров и футерованных</x:v>
      </x:c>
      <x:c r="E651" s="16" t="str">
        <x:v>ШТ</x:v>
      </x:c>
      <x:c r="F651" s="21" t="n">
        <x:v>2</x:v>
      </x:c>
      <x:c r="G651" s="17" t="n">
        <x:v>6267.75</x:v>
      </x:c>
      <x:c r="H651" s="17" t="n">
        <x:f>G651*F651</x:f>
        <x:v>12535.5</x:v>
      </x:c>
      <x:c r="I651" s="22" t="str">
        <x:f>HYPERLINK("https://etp-aktiv.ru/catalog/materialy/truboprovody/2001041445-U121/","Открыть позицию")</x:f>
        <x:v>Открыть позицию</x:v>
      </x:c>
    </x:row>
    <x:row r="652" ht="28" customHeight="1">
      <x:c r="A652" s="16" t="str">
        <x:v>Кемеровская теплосетевая компания</x:v>
      </x:c>
      <x:c r="B652" s="16" t="str">
        <x:v>2001039440-U121</x:v>
      </x:c>
      <x:c r="C652" s="16" t="str">
        <x:v>ЭЛЕМЕНТ КОНЦ 09Г2С 159*5 1-ППУ-ПЭ-200 ЗМ</x:v>
      </x:c>
      <x:c r="D652" s="16" t="str">
        <x:v>Трубы и элементы трубопроводов теплоизолиров и футерованных</x:v>
      </x:c>
      <x:c r="E652" s="16" t="str">
        <x:v>ШТ</x:v>
      </x:c>
      <x:c r="F652" s="21" t="n">
        <x:v>1</x:v>
      </x:c>
      <x:c r="G652" s="17" t="n">
        <x:v>12502.56</x:v>
      </x:c>
      <x:c r="H652" s="17" t="n">
        <x:f>G652*F652</x:f>
        <x:v>12502.56</x:v>
      </x:c>
      <x:c r="I652" s="22" t="str">
        <x:f>HYPERLINK("https://etp-aktiv.ru/catalog/materialy/truboprovody/2001039440-U121/","Открыть позицию")</x:f>
        <x:v>Открыть позицию</x:v>
      </x:c>
    </x:row>
    <x:row r="653" ht="28" customHeight="1">
      <x:c r="A653" s="16" t="str">
        <x:v>Ново-Кемеровская ТЭЦ</x:v>
      </x:c>
      <x:c r="B653" s="16" t="str">
        <x:v>2000015484-U411</x:v>
      </x:c>
      <x:c r="C653" s="16" t="str">
        <x:v>АРМАТУРА А-I СТ3 D10ММ ГОСТ5781-82</x:v>
      </x:c>
      <x:c r="D653" s="16" t="str">
        <x:v>Металлопрокат черный</x:v>
      </x:c>
      <x:c r="E653" s="16" t="str">
        <x:v>Т</x:v>
      </x:c>
      <x:c r="F653" s="30" t="n">
        <x:v>0.489</x:v>
      </x:c>
      <x:c r="G653" s="17" t="n">
        <x:v>52791.8278</x:v>
      </x:c>
      <x:c r="H653" s="17" t="n">
        <x:f>G653*F653</x:f>
        <x:v>25815.2037942</x:v>
      </x:c>
      <x:c r="I653" s="22" t="str">
        <x:f>HYPERLINK("https://etp-aktiv.ru/catalog/materialy/metalloprodukciya/2000015484-U411/","Открыть позицию")</x:f>
        <x:v>Открыть позицию</x:v>
      </x:c>
    </x:row>
    <x:row r="654" ht="28" customHeight="1">
      <x:c r="A654" s="16" t="str">
        <x:v>Ново-Кемеровская ТЭЦ</x:v>
      </x:c>
      <x:c r="B654" s="16" t="str">
        <x:v>2000126194-U411</x:v>
      </x:c>
      <x:c r="C654" s="16" t="str">
        <x:v>АРМАТУРА А-I СТ3 D16ММ ГОСТ5781-82</x:v>
      </x:c>
      <x:c r="D654" s="16" t="str">
        <x:v>Металлопрокат черный</x:v>
      </x:c>
      <x:c r="E654" s="16" t="str">
        <x:v>Т</x:v>
      </x:c>
      <x:c r="F654" s="30" t="n">
        <x:v>0.075</x:v>
      </x:c>
      <x:c r="G654" s="17" t="n">
        <x:v>24781.25</x:v>
      </x:c>
      <x:c r="H654" s="17" t="n">
        <x:f>G654*F654</x:f>
        <x:v>1858.59375</x:v>
      </x:c>
      <x:c r="I654" s="22" t="str">
        <x:f>HYPERLINK("https://etp-aktiv.ru/catalog/materialy/metalloprodukciya/2000126194-U411/","Открыть позицию")</x:f>
        <x:v>Открыть позицию</x:v>
      </x:c>
    </x:row>
    <x:row r="655" ht="28" customHeight="1">
      <x:c r="A655" s="16" t="str">
        <x:v>Ново-Кемеровская ТЭЦ</x:v>
      </x:c>
      <x:c r="B655" s="16" t="str">
        <x:v>2000286857-U411</x:v>
      </x:c>
      <x:c r="C655" s="16" t="str">
        <x:v>ГОФРОТРУБА ПВХ DKC 91916 16ММ</x:v>
      </x:c>
      <x:c r="D655" s="16" t="str">
        <x:v>Электроизоляционные материалы</x:v>
      </x:c>
      <x:c r="E655" s="16" t="str">
        <x:v>М</x:v>
      </x:c>
      <x:c r="F655" s="21" t="n">
        <x:v>2</x:v>
      </x:c>
      <x:c r="G655" s="17" t="n">
        <x:v>7.7592</x:v>
      </x:c>
      <x:c r="H655" s="17" t="n">
        <x:f>G655*F655</x:f>
        <x:v>15.5184</x:v>
      </x:c>
      <x:c r="I655" s="22" t="str">
        <x:f>HYPERLINK("https://etp-aktiv.ru/catalog/materialy/ehlektroizolyacionnye-materialy/2000286857-U411/","Открыть позицию")</x:f>
        <x:v>Открыть позицию</x:v>
      </x:c>
    </x:row>
    <x:row r="656" ht="28" customHeight="1">
      <x:c r="A656" s="16" t="str">
        <x:v>Ново-Кемеровская ТЭЦ</x:v>
      </x:c>
      <x:c r="B656" s="16" t="str">
        <x:v>2000555455-U411</x:v>
      </x:c>
      <x:c r="C656" s="16" t="str">
        <x:v>ЗАГЛУШКА НАРУЖНАЯ 133 ТУ40-461-806-60</x:v>
      </x:c>
      <x:c r="D656" s="16" t="str">
        <x:v>Детали фасонные</x:v>
      </x:c>
      <x:c r="E656" s="16" t="str">
        <x:v>ШТ</x:v>
      </x:c>
      <x:c r="F656" s="21" t="n">
        <x:v>20</x:v>
      </x:c>
      <x:c r="G656" s="17" t="n">
        <x:v>55.009800000000006</x:v>
      </x:c>
      <x:c r="H656" s="17" t="n">
        <x:f>G656*F656</x:f>
        <x:v>1100.1960000000001</x:v>
      </x:c>
      <x:c r="I656" s="22" t="str">
        <x:f>HYPERLINK("https://etp-aktiv.ru/catalog/materialy/truboprovody/2000555455-U411/","Открыть позицию")</x:f>
        <x:v>Открыть позицию</x:v>
      </x:c>
    </x:row>
    <x:row r="657" ht="28" customHeight="1">
      <x:c r="A657" s="16" t="str">
        <x:v>Ново-Кемеровская ТЭЦ</x:v>
      </x:c>
      <x:c r="B657" s="16" t="str">
        <x:v>2000555457-U411</x:v>
      </x:c>
      <x:c r="C657" s="16" t="str">
        <x:v>ЗАГЛУШКА НАРУЖНАЯ 32 ТУ40-461-806-60</x:v>
      </x:c>
      <x:c r="D657" s="16" t="str">
        <x:v>Детали фасонные</x:v>
      </x:c>
      <x:c r="E657" s="16" t="str">
        <x:v>ШТ</x:v>
      </x:c>
      <x:c r="F657" s="21" t="n">
        <x:v>38</x:v>
      </x:c>
      <x:c r="G657" s="17" t="n">
        <x:v>8.4912</x:v>
      </x:c>
      <x:c r="H657" s="17" t="n">
        <x:f>G657*F657</x:f>
        <x:v>322.6656</x:v>
      </x:c>
      <x:c r="I657" s="22" t="str">
        <x:f>HYPERLINK("https://etp-aktiv.ru/catalog/materialy/truboprovody/2000555457-U411/","Открыть позицию")</x:f>
        <x:v>Открыть позицию</x:v>
      </x:c>
    </x:row>
    <x:row r="658" ht="28" customHeight="1">
      <x:c r="A658" s="16" t="str">
        <x:v>Ново-Кемеровская ТЭЦ</x:v>
      </x:c>
      <x:c r="B658" s="16" t="str">
        <x:v>2000555460-U411</x:v>
      </x:c>
      <x:c r="C658" s="16" t="str">
        <x:v>ЗАГЛУШКА НАРУЖНАЯ 60 ТУ40-461-806-60</x:v>
      </x:c>
      <x:c r="D658" s="16" t="str">
        <x:v>Детали фасонные</x:v>
      </x:c>
      <x:c r="E658" s="16" t="str">
        <x:v>ШТ</x:v>
      </x:c>
      <x:c r="F658" s="21" t="n">
        <x:v>948</x:v>
      </x:c>
      <x:c r="G658" s="17" t="n">
        <x:v>19.642000000000003</x:v>
      </x:c>
      <x:c r="H658" s="17" t="n">
        <x:f>G658*F658</x:f>
        <x:v>18620.616</x:v>
      </x:c>
      <x:c r="I658" s="22" t="str">
        <x:f>HYPERLINK("https://etp-aktiv.ru/catalog/materialy/truboprovody/2000555460-U411/","Открыть позицию")</x:f>
        <x:v>Открыть позицию</x:v>
      </x:c>
    </x:row>
    <x:row r="659" ht="28" customHeight="1">
      <x:c r="A659" s="16" t="str">
        <x:v>Ново-Кемеровская ТЭЦ</x:v>
      </x:c>
      <x:c r="B659" s="16" t="str">
        <x:v>2000539362-U411</x:v>
      </x:c>
      <x:c r="C659" s="16" t="str">
        <x:v>ЗАДВИЖКА 30С41НЖ 80/16 Р/ПР МАХОВ П/ПР А</x:v>
      </x:c>
      <x:c r="D659" s="16" t="str">
        <x:v>Трубопроводная арматура общепромышленного назначения</x:v>
      </x:c>
      <x:c r="E659" s="16" t="str">
        <x:v>ШТ</x:v>
      </x:c>
      <x:c r="F659" s="21" t="n">
        <x:v>3</x:v>
      </x:c>
      <x:c r="G659" s="17" t="n">
        <x:v>8028.746799999999</x:v>
      </x:c>
      <x:c r="H659" s="17" t="n">
        <x:f>G659*F659</x:f>
        <x:v>24086.240399999995</x:v>
      </x:c>
      <x:c r="I659" s="22" t="str">
        <x:f>HYPERLINK("https://etp-aktiv.ru/catalog/materialy/truboprovodnaya-armatura-i-komplektuyushchie/2000539362-U411/","Открыть позицию")</x:f>
        <x:v>Открыть позицию</x:v>
      </x:c>
    </x:row>
    <x:row r="660" ht="28" customHeight="1">
      <x:c r="A660" s="16" t="str">
        <x:v>Ново-Кемеровская ТЭЦ</x:v>
      </x:c>
      <x:c r="B660" s="16" t="str">
        <x:v>2000014584-U411</x:v>
      </x:c>
      <x:c r="C660" s="16" t="str">
        <x:v>ЗАДВИЖКА 30С41НЖ DN200 PN16 РП ФЛ А</x:v>
      </x:c>
      <x:c r="D660" s="16" t="str">
        <x:v>Трубопроводная арматура общепромышленного назначения</x:v>
      </x:c>
      <x:c r="E660" s="16" t="str">
        <x:v>ШТ</x:v>
      </x:c>
      <x:c r="F660" s="21" t="n">
        <x:v>1</x:v>
      </x:c>
      <x:c r="G660" s="17" t="n">
        <x:v>23046.1904</x:v>
      </x:c>
      <x:c r="H660" s="17" t="n">
        <x:f>G660*F660</x:f>
        <x:v>23046.1904</x:v>
      </x:c>
      <x:c r="I660" s="22" t="str">
        <x:f>HYPERLINK("https://etp-aktiv.ru/catalog/materialy/truboprovodnaya-armatura-i-komplektuyushchie/2000014584-U411/","Открыть позицию")</x:f>
        <x:v>Открыть позицию</x:v>
      </x:c>
    </x:row>
    <x:row r="661" ht="28" customHeight="1">
      <x:c r="A661" s="16" t="str">
        <x:v>Ново-Кемеровская ТЭЦ</x:v>
      </x:c>
      <x:c r="B661" s="16" t="str">
        <x:v>2000539427-U411</x:v>
      </x:c>
      <x:c r="C661" s="16" t="str">
        <x:v>ЗАДВИЖКА 30С964НЖ DN400 PN25 ПОД ПР ФЛ A</x:v>
      </x:c>
      <x:c r="D661" s="16" t="str">
        <x:v>Трубопроводная арматура общепромышленного назначения</x:v>
      </x:c>
      <x:c r="E661" s="16" t="str">
        <x:v>ШТ</x:v>
      </x:c>
      <x:c r="F661" s="21" t="n">
        <x:v>1</x:v>
      </x:c>
      <x:c r="G661" s="17" t="n">
        <x:v>79330.5</x:v>
      </x:c>
      <x:c r="H661" s="17" t="n">
        <x:f>G661*F661</x:f>
        <x:v>79330.5</x:v>
      </x:c>
      <x:c r="I661" s="22" t="str">
        <x:f>HYPERLINK("https://etp-aktiv.ru/catalog/materialy/truboprovodnaya-armatura-i-komplektuyushchie/2000539427-U411/","Открыть позицию")</x:f>
        <x:v>Открыть позицию</x:v>
      </x:c>
    </x:row>
    <x:row r="662" ht="28" customHeight="1">
      <x:c r="A662" s="16" t="str">
        <x:v>Ново-Кемеровская ТЭЦ</x:v>
      </x:c>
      <x:c r="B662" s="16" t="str">
        <x:v>2000539430-U411</x:v>
      </x:c>
      <x:c r="C662" s="16" t="str">
        <x:v>ЗАДВИЖКА 30С964НЖ DN400PN25 Э/П ФЛ А КОФ</x:v>
      </x:c>
      <x:c r="D662" s="16" t="str">
        <x:v>Трубопроводная арматура общепромышленного назначения</x:v>
      </x:c>
      <x:c r="E662" s="16" t="str">
        <x:v>ШТ</x:v>
      </x:c>
      <x:c r="F662" s="21" t="n">
        <x:v>1</x:v>
      </x:c>
      <x:c r="G662" s="17" t="n">
        <x:v>142328.25</x:v>
      </x:c>
      <x:c r="H662" s="17" t="n">
        <x:f>G662*F662</x:f>
        <x:v>142328.25</x:v>
      </x:c>
      <x:c r="I662" s="22" t="str">
        <x:f>HYPERLINK("https://etp-aktiv.ru/catalog/materialy/truboprovodnaya-armatura-i-komplektuyushchie/2000539430-U411/","Открыть позицию")</x:f>
        <x:v>Открыть позицию</x:v>
      </x:c>
    </x:row>
    <x:row r="663" ht="28" customHeight="1">
      <x:c r="A663" s="16" t="str">
        <x:v>Ново-Кемеровская ТЭЦ</x:v>
      </x:c>
      <x:c r="B663" s="16" t="str">
        <x:v>2000579519-U411</x:v>
      </x:c>
      <x:c r="C663" s="16" t="str">
        <x:v>ЗАДВИЖКА 30Ч6БР DN125 PN10 Б/Э/П ФЛ КОФ</x:v>
      </x:c>
      <x:c r="D663" s="16" t="str">
        <x:v>Трубопроводная арматура общепромышленного назначения</x:v>
      </x:c>
      <x:c r="E663" s="16" t="str">
        <x:v>ШТ</x:v>
      </x:c>
      <x:c r="F663" s="21" t="n">
        <x:v>1</x:v>
      </x:c>
      <x:c r="G663" s="17" t="n">
        <x:v>4359.3162</x:v>
      </x:c>
      <x:c r="H663" s="17" t="n">
        <x:f>G663*F663</x:f>
        <x:v>4359.3162</x:v>
      </x:c>
      <x:c r="I663" s="22" t="str">
        <x:f>HYPERLINK("https://etp-aktiv.ru/catalog/materialy/truboprovodnaya-armatura-i-komplektuyushchie/2000579519-U411/","Открыть позицию")</x:f>
        <x:v>Открыть позицию</x:v>
      </x:c>
    </x:row>
    <x:row r="664" ht="28" customHeight="1">
      <x:c r="A664" s="16" t="str">
        <x:v>Ново-Кемеровская ТЭЦ</x:v>
      </x:c>
      <x:c r="B664" s="16" t="str">
        <x:v>2000009267-U411</x:v>
      </x:c>
      <x:c r="C664" s="16" t="str">
        <x:v>ЗАДВИЖКА 30Ч6БР DN80 PN10</x:v>
      </x:c>
      <x:c r="D664" s="16" t="str">
        <x:v>Трубопроводная арматура общепромышленного назначения</x:v>
      </x:c>
      <x:c r="E664" s="16" t="str">
        <x:v>ШТ</x:v>
      </x:c>
      <x:c r="F664" s="21" t="n">
        <x:v>1</x:v>
      </x:c>
      <x:c r="G664" s="17" t="n">
        <x:v>2100.901</x:v>
      </x:c>
      <x:c r="H664" s="17" t="n">
        <x:f>G664*F664</x:f>
        <x:v>2100.901</x:v>
      </x:c>
      <x:c r="I664" s="22" t="str">
        <x:f>HYPERLINK("https://etp-aktiv.ru/catalog/materialy/truboprovodnaya-armatura-i-komplektuyushchie/2000009267-U411/","Открыть позицию")</x:f>
        <x:v>Открыть позицию</x:v>
      </x:c>
    </x:row>
    <x:row r="665" ht="28" customHeight="1">
      <x:c r="A665" s="16" t="str">
        <x:v>Ново-Кемеровская ТЭЦ</x:v>
      </x:c>
      <x:c r="B665" s="16" t="str">
        <x:v>2000539451-U411</x:v>
      </x:c>
      <x:c r="C665" s="16" t="str">
        <x:v>ЗАДВИЖКА 30Ч906БР DN125 PN10 ПОДЭ/П ФЛ А</x:v>
      </x:c>
      <x:c r="D665" s="16" t="str">
        <x:v>Трубопроводная арматура общепромышленного назначения</x:v>
      </x:c>
      <x:c r="E665" s="16" t="str">
        <x:v>ШТ</x:v>
      </x:c>
      <x:c r="F665" s="21" t="n">
        <x:v>2</x:v>
      </x:c>
      <x:c r="G665" s="17" t="n">
        <x:v>3888.75</x:v>
      </x:c>
      <x:c r="H665" s="17" t="n">
        <x:f>G665*F665</x:f>
        <x:v>7777.5</x:v>
      </x:c>
      <x:c r="I665" s="22" t="str">
        <x:f>HYPERLINK("https://etp-aktiv.ru/catalog/materialy/truboprovodnaya-armatura-i-komplektuyushchie/2000539451-U411/","Открыть позицию")</x:f>
        <x:v>Открыть позицию</x:v>
      </x:c>
    </x:row>
    <x:row r="666" ht="28" customHeight="1">
      <x:c r="A666" s="16" t="str">
        <x:v>Ново-Кемеровская ТЭЦ</x:v>
      </x:c>
      <x:c r="B666" s="16" t="str">
        <x:v>2000539456-U411</x:v>
      </x:c>
      <x:c r="C666" s="16" t="str">
        <x:v>ЗАДВИЖКА 30Ч906БР DN400 PN10 Э/П ФЛ А</x:v>
      </x:c>
      <x:c r="D666" s="16" t="str">
        <x:v>Трубопроводная арматура общепромышленного назначения</x:v>
      </x:c>
      <x:c r="E666" s="16" t="str">
        <x:v>ШТ</x:v>
      </x:c>
      <x:c r="F666" s="21" t="n">
        <x:v>1</x:v>
      </x:c>
      <x:c r="G666" s="17" t="n">
        <x:v>125000.0044</x:v>
      </x:c>
      <x:c r="H666" s="17" t="n">
        <x:f>G666*F666</x:f>
        <x:v>125000.0044</x:v>
      </x:c>
      <x:c r="I666" s="22" t="str">
        <x:f>HYPERLINK("https://etp-aktiv.ru/catalog/materialy/truboprovodnaya-armatura-i-komplektuyushchie/2000539456-U411/","Открыть позицию")</x:f>
        <x:v>Открыть позицию</x:v>
      </x:c>
    </x:row>
    <x:row r="667" ht="28" customHeight="1">
      <x:c r="A667" s="16" t="str">
        <x:v>Ново-Кемеровская ТЭЦ</x:v>
      </x:c>
      <x:c r="B667" s="16" t="str">
        <x:v>2000167423-U411</x:v>
      </x:c>
      <x:c r="C667" s="16" t="str">
        <x:v>ЗАЗЕМЛЕНИЕ ПЕРЕНОСНОЕ ЗПП-15Н 50ММ2</x:v>
      </x:c>
      <x:c r="D667" s="16" t="str">
        <x:v>Линейно-подвесная арматура</x:v>
      </x:c>
      <x:c r="E667" s="16" t="str">
        <x:v>ШТ</x:v>
      </x:c>
      <x:c r="F667" s="21" t="n">
        <x:v>18</x:v>
      </x:c>
      <x:c r="G667" s="17" t="n">
        <x:v>2422.6638</x:v>
      </x:c>
      <x:c r="H667" s="17" t="n">
        <x:f>G667*F667</x:f>
        <x:v>43607.948399999994</x:v>
      </x:c>
      <x:c r="I667" s="22" t="str">
        <x:f>HYPERLINK("https://etp-aktiv.ru/catalog/materialy/ehlektrotekhnicheskie-materialy/2000167423-U411/","Открыть позицию")</x:f>
        <x:v>Открыть позицию</x:v>
      </x:c>
    </x:row>
    <x:row r="668" ht="28" customHeight="1">
      <x:c r="A668" s="16" t="str">
        <x:v>Ново-Кемеровская ТЭЦ</x:v>
      </x:c>
      <x:c r="B668" s="16" t="str">
        <x:v>2001029468-U411</x:v>
      </x:c>
      <x:c r="C668" s="16" t="str">
        <x:v>КЛАПАН 14НЖ17П28-1 DN25 PN10 РП ФЛ</x:v>
      </x:c>
      <x:c r="D668" s="16" t="str">
        <x:v>Задвижки/клапаны стальные</x:v>
      </x:c>
      <x:c r="E668" s="16" t="str">
        <x:v>ШТ</x:v>
      </x:c>
      <x:c r="F668" s="21" t="n">
        <x:v>1</x:v>
      </x:c>
      <x:c r="G668" s="17" t="n">
        <x:v>9150</x:v>
      </x:c>
      <x:c r="H668" s="17" t="n">
        <x:f>G668*F668</x:f>
        <x:v>9150</x:v>
      </x:c>
      <x:c r="I668" s="22" t="str">
        <x:f>HYPERLINK("https://etp-aktiv.ru/catalog/materialy/truboprovodnaya-armatura-i-komplektuyushchie/2001029468-U411/","Открыть позицию")</x:f>
        <x:v>Открыть позицию</x:v>
      </x:c>
    </x:row>
    <x:row r="669" ht="28" customHeight="1">
      <x:c r="A669" s="16" t="str">
        <x:v>Ново-Кемеровская ТЭЦ</x:v>
      </x:c>
      <x:c r="B669" s="16" t="str">
        <x:v>2000539552-U411</x:v>
      </x:c>
      <x:c r="C669" s="16" t="str">
        <x:v>КЛАПАН 15КЧ11Р DN50 PN16 РУЧН СМЕШ A ЧУГ</x:v>
      </x:c>
      <x:c r="D669" s="16" t="str">
        <x:v>Трубопроводная арматура общепромышленного назначения</x:v>
      </x:c>
      <x:c r="E669" s="16" t="str">
        <x:v>ШТ</x:v>
      </x:c>
      <x:c r="F669" s="21" t="n">
        <x:v>20</x:v>
      </x:c>
      <x:c r="G669" s="17" t="n">
        <x:v>227.713</x:v>
      </x:c>
      <x:c r="H669" s="17" t="n">
        <x:f>G669*F669</x:f>
        <x:v>4554.26</x:v>
      </x:c>
      <x:c r="I669" s="22" t="str">
        <x:f>HYPERLINK("https://etp-aktiv.ru/catalog/materialy/truboprovodnaya-armatura-i-komplektuyushchie/2000539552-U411/","Открыть позицию")</x:f>
        <x:v>Открыть позицию</x:v>
      </x:c>
    </x:row>
    <x:row r="670" ht="28" customHeight="1">
      <x:c r="A670" s="16" t="str">
        <x:v>Ново-Кемеровская ТЭЦ</x:v>
      </x:c>
      <x:c r="B670" s="16" t="str">
        <x:v>2000539559-U411</x:v>
      </x:c>
      <x:c r="C670" s="16" t="str">
        <x:v>КЛАПАН 15КЧ18П DN50 PN16 Р/П</x:v>
      </x:c>
      <x:c r="D670" s="16" t="str">
        <x:v>Чугунная арматура (кроме затворов)</x:v>
      </x:c>
      <x:c r="E670" s="16" t="str">
        <x:v>ШТ</x:v>
      </x:c>
      <x:c r="F670" s="21" t="n">
        <x:v>10</x:v>
      </x:c>
      <x:c r="G670" s="17" t="n">
        <x:v>829.2218</x:v>
      </x:c>
      <x:c r="H670" s="17" t="n">
        <x:f>G670*F670</x:f>
        <x:v>8292.218</x:v>
      </x:c>
      <x:c r="I670" s="22" t="str">
        <x:f>HYPERLINK("https://etp-aktiv.ru/catalog/materialy/truboprovodnaya-armatura-i-komplektuyushchie/2000539559-U411/","Открыть позицию")</x:f>
        <x:v>Открыть позицию</x:v>
      </x:c>
    </x:row>
    <x:row r="671" ht="28" customHeight="1">
      <x:c r="A671" s="16" t="str">
        <x:v>Ново-Кемеровская ТЭЦ</x:v>
      </x:c>
      <x:c r="B671" s="16" t="str">
        <x:v>2000539562-U411</x:v>
      </x:c>
      <x:c r="C671" s="16" t="str">
        <x:v>КЛАПАН 15КЧ18Р DN15 PN16 МАХ МУФТ A</x:v>
      </x:c>
      <x:c r="D671" s="16" t="str">
        <x:v>Трубопроводная арматура общепромышленного назначения</x:v>
      </x:c>
      <x:c r="E671" s="16" t="str">
        <x:v>ШТ</x:v>
      </x:c>
      <x:c r="F671" s="21" t="n">
        <x:v>20</x:v>
      </x:c>
      <x:c r="G671" s="17" t="n">
        <x:v>45.37179999999999</x:v>
      </x:c>
      <x:c r="H671" s="17" t="n">
        <x:f>G671*F671</x:f>
        <x:v>907.4359999999999</x:v>
      </x:c>
      <x:c r="I671" s="22" t="str">
        <x:f>HYPERLINK("https://etp-aktiv.ru/catalog/materialy/truboprovodnaya-armatura-i-komplektuyushchie/2000539562-U411/","Открыть позицию")</x:f>
        <x:v>Открыть позицию</x:v>
      </x:c>
    </x:row>
    <x:row r="672" ht="28" customHeight="1">
      <x:c r="A672" s="16" t="str">
        <x:v>Ново-Кемеровская ТЭЦ</x:v>
      </x:c>
      <x:c r="B672" s="16" t="str">
        <x:v>2000592869-U411</x:v>
      </x:c>
      <x:c r="C672" s="16" t="str">
        <x:v>КЛАПАН 15КЧ888Р1СВМ DN65 PN16 С Э/П ФЛ А</x:v>
      </x:c>
      <x:c r="D672" s="16" t="str">
        <x:v>Чугунная арматура (кроме затворов)</x:v>
      </x:c>
      <x:c r="E672" s="16" t="str">
        <x:v>ШТ</x:v>
      </x:c>
      <x:c r="F672" s="21" t="n">
        <x:v>1</x:v>
      </x:c>
      <x:c r="G672" s="17" t="n">
        <x:v>36600</x:v>
      </x:c>
      <x:c r="H672" s="17" t="n">
        <x:f>G672*F672</x:f>
        <x:v>36600</x:v>
      </x:c>
      <x:c r="I672" s="22" t="str">
        <x:f>HYPERLINK("https://etp-aktiv.ru/catalog/materialy/truboprovodnaya-armatura-i-komplektuyushchie/2000592869-U411/","Открыть позицию")</x:f>
        <x:v>Открыть позицию</x:v>
      </x:c>
    </x:row>
    <x:row r="673" ht="28" customHeight="1">
      <x:c r="A673" s="16" t="str">
        <x:v>Ново-Кемеровская ТЭЦ</x:v>
      </x:c>
      <x:c r="B673" s="16" t="str">
        <x:v>2000539604-U411</x:v>
      </x:c>
      <x:c r="C673" s="16" t="str">
        <x:v>КЛАПАН 15С22НЖ DN50 PN40</x:v>
      </x:c>
      <x:c r="D673" s="16" t="str">
        <x:v>Трубопроводная арматура общепромышленного назначения</x:v>
      </x:c>
      <x:c r="E673" s="16" t="str">
        <x:v>ШТ</x:v>
      </x:c>
      <x:c r="F673" s="21" t="n">
        <x:v>2</x:v>
      </x:c>
      <x:c r="G673" s="17" t="n">
        <x:v>2949.9966000000004</x:v>
      </x:c>
      <x:c r="H673" s="17" t="n">
        <x:f>G673*F673</x:f>
        <x:v>5899.993200000001</x:v>
      </x:c>
      <x:c r="I673" s="22" t="str">
        <x:f>HYPERLINK("https://etp-aktiv.ru/catalog/materialy/truboprovodnaya-armatura-i-komplektuyushchie/2000539604-U411/","Открыть позицию")</x:f>
        <x:v>Открыть позицию</x:v>
      </x:c>
    </x:row>
    <x:row r="674" ht="28" customHeight="1">
      <x:c r="A674" s="16" t="str">
        <x:v>Ново-Кемеровская ТЭЦ</x:v>
      </x:c>
      <x:c r="B674" s="16" t="str">
        <x:v>2000025774-U411</x:v>
      </x:c>
      <x:c r="C674" s="16" t="str">
        <x:v>КЛАПАН 17С28НЖ DN80 PN16</x:v>
      </x:c>
      <x:c r="D674" s="16" t="str">
        <x:v>Трубопроводная арматура общепромышленного назначения</x:v>
      </x:c>
      <x:c r="E674" s="16" t="str">
        <x:v>ШТ</x:v>
      </x:c>
      <x:c r="F674" s="21" t="n">
        <x:v>2</x:v>
      </x:c>
      <x:c r="G674" s="17" t="n">
        <x:v>9531.25</x:v>
      </x:c>
      <x:c r="H674" s="17" t="n">
        <x:f>G674*F674</x:f>
        <x:v>19062.5</x:v>
      </x:c>
      <x:c r="I674" s="22" t="str">
        <x:f>HYPERLINK("https://etp-aktiv.ru/catalog/materialy/truboprovodnaya-armatura-i-komplektuyushchie/2000025774-U411/","Открыть позицию")</x:f>
        <x:v>Открыть позицию</x:v>
      </x:c>
    </x:row>
    <x:row r="675" ht="28" customHeight="1">
      <x:c r="A675" s="16" t="str">
        <x:v>Ново-Кемеровская ТЭЦ</x:v>
      </x:c>
      <x:c r="B675" s="16" t="str">
        <x:v>2000539720-U411</x:v>
      </x:c>
      <x:c r="C675" s="16" t="str">
        <x:v>КЛАПАН 19С16НЖ DN400 PN16 Б/ПРИВ ФЛАНЦ А</x:v>
      </x:c>
      <x:c r="D675" s="16" t="str">
        <x:v>Трубопроводная арматура общепромышленного назначения</x:v>
      </x:c>
      <x:c r="E675" s="16" t="str">
        <x:v>ШТ</x:v>
      </x:c>
      <x:c r="F675" s="21" t="n">
        <x:v>1</x:v>
      </x:c>
      <x:c r="G675" s="17" t="n">
        <x:v>78612.2494</x:v>
      </x:c>
      <x:c r="H675" s="17" t="n">
        <x:f>G675*F675</x:f>
        <x:v>78612.2494</x:v>
      </x:c>
      <x:c r="I675" s="22" t="str">
        <x:f>HYPERLINK("https://etp-aktiv.ru/catalog/materialy/truboprovodnaya-armatura-i-komplektuyushchie/2000539720-U411/","Открыть позицию")</x:f>
        <x:v>Открыть позицию</x:v>
      </x:c>
    </x:row>
    <x:row r="676" ht="28" customHeight="1">
      <x:c r="A676" s="16" t="str">
        <x:v>Ново-Кемеровская ТЭЦ</x:v>
      </x:c>
      <x:c r="B676" s="16" t="str">
        <x:v>2000688309-U411</x:v>
      </x:c>
      <x:c r="C676" s="16" t="str">
        <x:v>КЛАПАН 19С17НЖ DN200 PN40 РП ФЛ</x:v>
      </x:c>
      <x:c r="D676" s="16" t="str">
        <x:v>Трубопроводная арматура общепромышленного назначения</x:v>
      </x:c>
      <x:c r="E676" s="16" t="str">
        <x:v>ШТ</x:v>
      </x:c>
      <x:c r="F676" s="21" t="n">
        <x:v>1</x:v>
      </x:c>
      <x:c r="G676" s="17" t="n">
        <x:v>12441.035399999999</x:v>
      </x:c>
      <x:c r="H676" s="17" t="n">
        <x:f>G676*F676</x:f>
        <x:v>12441.035399999999</x:v>
      </x:c>
      <x:c r="I676" s="22" t="str">
        <x:f>HYPERLINK("https://etp-aktiv.ru/catalog/materialy/truboprovodnaya-armatura-i-komplektuyushchie/2000688309-U411/","Открыть позицию")</x:f>
        <x:v>Открыть позицию</x:v>
      </x:c>
    </x:row>
    <x:row r="677" ht="28" customHeight="1">
      <x:c r="A677" s="16" t="str">
        <x:v>Ново-Кемеровская ТЭЦ</x:v>
      </x:c>
      <x:c r="B677" s="16" t="str">
        <x:v>2000539722-U411</x:v>
      </x:c>
      <x:c r="C677" s="16" t="str">
        <x:v>КЛАПАН 19С38НЖ DN100 PN63 Р/П П/П А</x:v>
      </x:c>
      <x:c r="D677" s="16" t="str">
        <x:v>Трубопроводная арматура общепромышленного назначения</x:v>
      </x:c>
      <x:c r="E677" s="16" t="str">
        <x:v>ШТ</x:v>
      </x:c>
      <x:c r="F677" s="21" t="n">
        <x:v>2</x:v>
      </x:c>
      <x:c r="G677" s="17" t="n">
        <x:v>9531.25</x:v>
      </x:c>
      <x:c r="H677" s="17" t="n">
        <x:f>G677*F677</x:f>
        <x:v>19062.5</x:v>
      </x:c>
      <x:c r="I677" s="22" t="str">
        <x:f>HYPERLINK("https://etp-aktiv.ru/catalog/materialy/truboprovodnaya-armatura-i-komplektuyushchie/2000539722-U411/","Открыть позицию")</x:f>
        <x:v>Открыть позицию</x:v>
      </x:c>
    </x:row>
    <x:row r="678" ht="28" customHeight="1">
      <x:c r="A678" s="16" t="str">
        <x:v>Ново-Кемеровская ТЭЦ</x:v>
      </x:c>
      <x:c r="B678" s="16" t="str">
        <x:v>2000903901-U411</x:v>
      </x:c>
      <x:c r="C678" s="16" t="str">
        <x:v>КЛАПАН 19С73НЖ DN150 PN40 РП МФ КОФ</x:v>
      </x:c>
      <x:c r="D678" s="16" t="str">
        <x:v>Трубопроводная арматура общепромышленного назначения</x:v>
      </x:c>
      <x:c r="E678" s="16" t="str">
        <x:v>ШТ</x:v>
      </x:c>
      <x:c r="F678" s="21" t="n">
        <x:v>1</x:v>
      </x:c>
      <x:c r="G678" s="17" t="n">
        <x:v>50896.875</x:v>
      </x:c>
      <x:c r="H678" s="17" t="n">
        <x:f>G678*F678</x:f>
        <x:v>50896.875</x:v>
      </x:c>
      <x:c r="I678" s="22" t="str">
        <x:f>HYPERLINK("https://etp-aktiv.ru/catalog/materialy/truboprovodnaya-armatura-i-komplektuyushchie/2000903901-U411/","Открыть позицию")</x:f>
        <x:v>Открыть позицию</x:v>
      </x:c>
    </x:row>
    <x:row r="679" ht="28" customHeight="1">
      <x:c r="A679" s="16" t="str">
        <x:v>Ново-Кемеровская ТЭЦ</x:v>
      </x:c>
      <x:c r="B679" s="16" t="str">
        <x:v>2000539523-U411</x:v>
      </x:c>
      <x:c r="C679" s="16" t="str">
        <x:v>КЛАПАН ЗАПОРНЫЙ 15Б1БК DN25 PN16</x:v>
      </x:c>
      <x:c r="D679" s="16" t="str">
        <x:v>Трубопроводная арматура общепромышленного назначения</x:v>
      </x:c>
      <x:c r="E679" s="16" t="str">
        <x:v>ШТ</x:v>
      </x:c>
      <x:c r="F679" s="21" t="n">
        <x:v>2</x:v>
      </x:c>
      <x:c r="G679" s="17" t="n">
        <x:v>262.1536</x:v>
      </x:c>
      <x:c r="H679" s="17" t="n">
        <x:f>G679*F679</x:f>
        <x:v>524.3072</x:v>
      </x:c>
      <x:c r="I679" s="22" t="str">
        <x:f>HYPERLINK("https://etp-aktiv.ru/catalog/materialy/truboprovodnaya-armatura-i-komplektuyushchie/2000539523-U411/","Открыть позицию")</x:f>
        <x:v>Открыть позицию</x:v>
      </x:c>
    </x:row>
    <x:row r="680" ht="28" customHeight="1">
      <x:c r="A680" s="16" t="str">
        <x:v>Ново-Кемеровская ТЭЦ</x:v>
      </x:c>
      <x:c r="B680" s="16" t="str">
        <x:v>2000987858-U411</x:v>
      </x:c>
      <x:c r="C680" s="16" t="str">
        <x:v>КЛАПАН ЗАПОРНЫЙ 15С68НЖ DN50 PN25 РП ПП</x:v>
      </x:c>
      <x:c r="D680" s="16" t="str">
        <x:v>Задвижки/клапаны стальные</x:v>
      </x:c>
      <x:c r="E680" s="16" t="str">
        <x:v>ШТ</x:v>
      </x:c>
      <x:c r="F680" s="21" t="n">
        <x:v>4</x:v>
      </x:c>
      <x:c r="G680" s="17" t="n">
        <x:v>13153.125</x:v>
      </x:c>
      <x:c r="H680" s="17" t="n">
        <x:f>G680*F680</x:f>
        <x:v>52612.5</x:v>
      </x:c>
      <x:c r="I680" s="22" t="str">
        <x:f>HYPERLINK("https://etp-aktiv.ru/catalog/materialy/truboprovodnaya-armatura-i-komplektuyushchie/2000987858-U411/","Открыть позицию")</x:f>
        <x:v>Открыть позицию</x:v>
      </x:c>
    </x:row>
    <x:row r="681" ht="28" customHeight="1">
      <x:c r="A681" s="16" t="str">
        <x:v>Ново-Кемеровская ТЭЦ</x:v>
      </x:c>
      <x:c r="B681" s="16" t="str">
        <x:v>2000539739-U411</x:v>
      </x:c>
      <x:c r="C681" s="16" t="str">
        <x:v>КЛАПАН ОБРАТ 19С53НЖ DN400 PN40</x:v>
      </x:c>
      <x:c r="D681" s="16" t="str">
        <x:v>Трубопроводная арматура общепромышленного назначения</x:v>
      </x:c>
      <x:c r="E681" s="16" t="str">
        <x:v>ШТ</x:v>
      </x:c>
      <x:c r="F681" s="21" t="n">
        <x:v>1</x:v>
      </x:c>
      <x:c r="G681" s="17" t="n">
        <x:v>771650</x:v>
      </x:c>
      <x:c r="H681" s="17" t="n">
        <x:f>G681*F681</x:f>
        <x:v>771650</x:v>
      </x:c>
      <x:c r="I681" s="22" t="str">
        <x:f>HYPERLINK("https://etp-aktiv.ru/catalog/materialy/truboprovodnaya-armatura-i-komplektuyushchie/2000539739-U411/","Открыть позицию")</x:f>
        <x:v>Открыть позицию</x:v>
      </x:c>
    </x:row>
    <x:row r="682" ht="28" customHeight="1">
      <x:c r="A682" s="16" t="str">
        <x:v>Ново-Кемеровская ТЭЦ</x:v>
      </x:c>
      <x:c r="B682" s="16" t="str">
        <x:v>2000539753-U411</x:v>
      </x:c>
      <x:c r="C682" s="16" t="str">
        <x:v>КЛАПАН ОБРАТ 19Ч21БР DN200 PN16</x:v>
      </x:c>
      <x:c r="D682" s="16" t="str">
        <x:v>Трубопроводная арматура общепромышленного назначения</x:v>
      </x:c>
      <x:c r="E682" s="16" t="str">
        <x:v>ШТ</x:v>
      </x:c>
      <x:c r="F682" s="21" t="n">
        <x:v>1</x:v>
      </x:c>
      <x:c r="G682" s="17" t="n">
        <x:v>5950.001</x:v>
      </x:c>
      <x:c r="H682" s="17" t="n">
        <x:f>G682*F682</x:f>
        <x:v>5950.001</x:v>
      </x:c>
      <x:c r="I682" s="22" t="str">
        <x:f>HYPERLINK("https://etp-aktiv.ru/catalog/materialy/truboprovodnaya-armatura-i-komplektuyushchie/2000539753-U411/","Открыть позицию")</x:f>
        <x:v>Открыть позицию</x:v>
      </x:c>
    </x:row>
    <x:row r="683" ht="28" customHeight="1">
      <x:c r="A683" s="16" t="str">
        <x:v>Ново-Кемеровская ТЭЦ</x:v>
      </x:c>
      <x:c r="B683" s="16" t="str">
        <x:v>2000493650-U411</x:v>
      </x:c>
      <x:c r="C683" s="16" t="str">
        <x:v>КЛАПАН ОБРАТНЫЙ CB 3448N DN150 PN10</x:v>
      </x:c>
      <x:c r="D683" s="16" t="str">
        <x:v>Трубопроводная арматура общепромышленного назначения</x:v>
      </x:c>
      <x:c r="E683" s="16" t="str">
        <x:v>ШТ</x:v>
      </x:c>
      <x:c r="F683" s="21" t="n">
        <x:v>3</x:v>
      </x:c>
      <x:c r="G683" s="17" t="n">
        <x:v>4666.5</x:v>
      </x:c>
      <x:c r="H683" s="17" t="n">
        <x:f>G683*F683</x:f>
        <x:v>13999.5</x:v>
      </x:c>
      <x:c r="I683" s="22" t="str">
        <x:f>HYPERLINK("https://etp-aktiv.ru/catalog/materialy/truboprovodnaya-armatura-i-komplektuyushchie/2000493650-U411/","Открыть позицию")</x:f>
        <x:v>Открыть позицию</x:v>
      </x:c>
    </x:row>
    <x:row r="684" ht="28" customHeight="1">
      <x:c r="A684" s="16" t="str">
        <x:v>Ново-Кемеровская ТЭЦ</x:v>
      </x:c>
      <x:c r="B684" s="16" t="str">
        <x:v>2000580498-U411</x:v>
      </x:c>
      <x:c r="C684" s="16" t="str">
        <x:v>КОЛЬЦО 00 В Б 30*18*6 ГФ-2</x:v>
      </x:c>
      <x:c r="D684" s="16" t="str">
        <x:v>Запасные части к трубопроводной арматуре</x:v>
      </x:c>
      <x:c r="E684" s="16" t="str">
        <x:v>ШТ</x:v>
      </x:c>
      <x:c r="F684" s="21" t="n">
        <x:v>96</x:v>
      </x:c>
      <x:c r="G684" s="17" t="n">
        <x:v>13.725</x:v>
      </x:c>
      <x:c r="H684" s="17" t="n">
        <x:f>G684*F684</x:f>
        <x:v>1317.6</x:v>
      </x:c>
      <x:c r="I684" s="22" t="str">
        <x:f>HYPERLINK("https://etp-aktiv.ru/catalog/materialy/truboprovodnaya-armatura-i-komplektuyushchie/2000580498-U411/","Открыть позицию")</x:f>
        <x:v>Открыть позицию</x:v>
      </x:c>
    </x:row>
    <x:row r="685" ht="28" customHeight="1">
      <x:c r="A685" s="16" t="str">
        <x:v>Ново-Кемеровская ТЭЦ</x:v>
      </x:c>
      <x:c r="B685" s="16" t="str">
        <x:v>2000580840-U411</x:v>
      </x:c>
      <x:c r="C685" s="16" t="str">
        <x:v>КОЛЬЦО 00 В Б 60*40*10 ГФ-2</x:v>
      </x:c>
      <x:c r="D685" s="16" t="str">
        <x:v>Запасные части к трубопроводной арматуре</x:v>
      </x:c>
      <x:c r="E685" s="16" t="str">
        <x:v>ШТ</x:v>
      </x:c>
      <x:c r="F685" s="21" t="n">
        <x:v>30</x:v>
      </x:c>
      <x:c r="G685" s="17" t="n">
        <x:v>15.8722</x:v>
      </x:c>
      <x:c r="H685" s="17" t="n">
        <x:f>G685*F685</x:f>
        <x:v>476.166</x:v>
      </x:c>
      <x:c r="I685" s="22" t="str">
        <x:f>HYPERLINK("https://etp-aktiv.ru/catalog/materialy/truboprovodnaya-armatura-i-komplektuyushchie/2000580840-U411/","Открыть позицию")</x:f>
        <x:v>Открыть позицию</x:v>
      </x:c>
    </x:row>
    <x:row r="686" ht="28" customHeight="1">
      <x:c r="A686" s="16" t="str">
        <x:v>Ново-Кемеровская ТЭЦ</x:v>
      </x:c>
      <x:c r="B686" s="16" t="str">
        <x:v>2000215937-U411</x:v>
      </x:c>
      <x:c r="C686" s="16" t="str">
        <x:v>КОЛЬЦО 00-В-Б 62*36*13 ГФ-2</x:v>
      </x:c>
      <x:c r="D686" s="16" t="str">
        <x:v>Запасные части к трубопроводной арматуре</x:v>
      </x:c>
      <x:c r="E686" s="16" t="str">
        <x:v>ШТ</x:v>
      </x:c>
      <x:c r="F686" s="21" t="n">
        <x:v>648</x:v>
      </x:c>
      <x:c r="G686" s="17" t="n">
        <x:v>29.89</x:v>
      </x:c>
      <x:c r="H686" s="17" t="n">
        <x:f>G686*F686</x:f>
        <x:v>19368.72</x:v>
      </x:c>
      <x:c r="I686" s="22" t="str">
        <x:f>HYPERLINK("https://etp-aktiv.ru/catalog/materialy/truboprovodnaya-armatura-i-komplektuyushchie/2000215937-U411/","Открыть позицию")</x:f>
        <x:v>Открыть позицию</x:v>
      </x:c>
    </x:row>
    <x:row r="687" ht="28" customHeight="1">
      <x:c r="A687" s="16" t="str">
        <x:v>Ново-Кемеровская ТЭЦ</x:v>
      </x:c>
      <x:c r="B687" s="16" t="str">
        <x:v>2000595382-U411</x:v>
      </x:c>
      <x:c r="C687" s="16" t="str">
        <x:v>КОМПЕНСАТОР САЛЬНИКОВЫЙ 14168СБ DN350</x:v>
      </x:c>
      <x:c r="D687" s="16" t="str">
        <x:v>Компенсаторы</x:v>
      </x:c>
      <x:c r="E687" s="16" t="str">
        <x:v>ШТ</x:v>
      </x:c>
      <x:c r="F687" s="21" t="n">
        <x:v>1</x:v>
      </x:c>
      <x:c r="G687" s="17" t="n">
        <x:v>33120.1452</x:v>
      </x:c>
      <x:c r="H687" s="17" t="n">
        <x:f>G687*F687</x:f>
        <x:v>33120.1452</x:v>
      </x:c>
      <x:c r="I687" s="22" t="str">
        <x:f>HYPERLINK("https://etp-aktiv.ru/catalog/materialy/truboprovody/2000595382-U411/","Открыть позицию")</x:f>
        <x:v>Открыть позицию</x:v>
      </x:c>
    </x:row>
    <x:row r="688" ht="28" customHeight="1">
      <x:c r="A688" s="16" t="str">
        <x:v>Ново-Кемеровская ТЭЦ</x:v>
      </x:c>
      <x:c r="B688" s="16" t="str">
        <x:v>2000002571-U411</x:v>
      </x:c>
      <x:c r="C688" s="16" t="str">
        <x:v>КРАН 11Б27П1 DN15 PN16</x:v>
      </x:c>
      <x:c r="D688" s="16" t="str">
        <x:v>Трубопроводная арматура общепромышленного назначения</x:v>
      </x:c>
      <x:c r="E688" s="16" t="str">
        <x:v>ШТ</x:v>
      </x:c>
      <x:c r="F688" s="21" t="n">
        <x:v>55</x:v>
      </x:c>
      <x:c r="G688" s="17" t="n">
        <x:v>64.0378</x:v>
      </x:c>
      <x:c r="H688" s="17" t="n">
        <x:f>G688*F688</x:f>
        <x:v>3522.079</x:v>
      </x:c>
      <x:c r="I688" s="22" t="str">
        <x:f>HYPERLINK("https://etp-aktiv.ru/catalog/materialy/truboprovodnaya-armatura-i-komplektuyushchie/2000002571-U411/","Открыть позицию")</x:f>
        <x:v>Открыть позицию</x:v>
      </x:c>
    </x:row>
    <x:row r="689" ht="28" customHeight="1">
      <x:c r="A689" s="16" t="str">
        <x:v>Ново-Кемеровская ТЭЦ</x:v>
      </x:c>
      <x:c r="B689" s="16" t="str">
        <x:v>2000028382-U411</x:v>
      </x:c>
      <x:c r="C689" s="16" t="str">
        <x:v>КРАН 11Б27П1 DN25 PN16</x:v>
      </x:c>
      <x:c r="D689" s="16" t="str">
        <x:v>Трубопроводная арматура общепромышленного назначения</x:v>
      </x:c>
      <x:c r="E689" s="16" t="str">
        <x:v>ШТ</x:v>
      </x:c>
      <x:c r="F689" s="21" t="n">
        <x:v>7</x:v>
      </x:c>
      <x:c r="G689" s="17" t="n">
        <x:v>358.68</x:v>
      </x:c>
      <x:c r="H689" s="17" t="n">
        <x:f>G689*F689</x:f>
        <x:v>2510.76</x:v>
      </x:c>
      <x:c r="I689" s="22" t="str">
        <x:f>HYPERLINK("https://etp-aktiv.ru/catalog/materialy/truboprovodnaya-armatura-i-komplektuyushchie/2000028382-U411/","Открыть позицию")</x:f>
        <x:v>Открыть позицию</x:v>
      </x:c>
    </x:row>
    <x:row r="690" ht="28" customHeight="1">
      <x:c r="A690" s="16" t="str">
        <x:v>Ново-Кемеровская ТЭЦ</x:v>
      </x:c>
      <x:c r="B690" s="16" t="str">
        <x:v>2000540087-U411</x:v>
      </x:c>
      <x:c r="C690" s="16" t="str">
        <x:v>КРАН ЛЦ ПП ВОДА 200° ВВ 25/40 РП A</x:v>
      </x:c>
      <x:c r="D690" s="16" t="str">
        <x:v>Трубопроводная арматура общепромышленного назначения</x:v>
      </x:c>
      <x:c r="E690" s="16" t="str">
        <x:v>ШТ</x:v>
      </x:c>
      <x:c r="F690" s="21" t="n">
        <x:v>2</x:v>
      </x:c>
      <x:c r="G690" s="17" t="n">
        <x:v>157.4654</x:v>
      </x:c>
      <x:c r="H690" s="17" t="n">
        <x:f>G690*F690</x:f>
        <x:v>314.9308</x:v>
      </x:c>
      <x:c r="I690" s="22" t="str">
        <x:f>HYPERLINK("https://etp-aktiv.ru/catalog/materialy/truboprovodnaya-armatura-i-komplektuyushchie/2000540087-U411/","Открыть позицию")</x:f>
        <x:v>Открыть позицию</x:v>
      </x:c>
    </x:row>
    <x:row r="691" ht="28" customHeight="1">
      <x:c r="A691" s="16" t="str">
        <x:v>Ново-Кемеровская ТЭЦ</x:v>
      </x:c>
      <x:c r="B691" s="16" t="str">
        <x:v>2000540148-U411</x:v>
      </x:c>
      <x:c r="C691" s="16" t="str">
        <x:v>КРАН СТ20 ПП ВОДА 200° ПП 15/40 РП A</x:v>
      </x:c>
      <x:c r="D691" s="16" t="str">
        <x:v>Трубопр армат промыш</x:v>
      </x:c>
      <x:c r="E691" s="16" t="str">
        <x:v>ШТ</x:v>
      </x:c>
      <x:c r="F691" s="21" t="n">
        <x:v>1</x:v>
      </x:c>
      <x:c r="G691" s="17" t="n">
        <x:v>124.989</x:v>
      </x:c>
      <x:c r="H691" s="17" t="n">
        <x:f>G691*F691</x:f>
        <x:v>124.989</x:v>
      </x:c>
      <x:c r="I691" s="22" t="str">
        <x:f>HYPERLINK("https://etp-aktiv.ru/catalog/materialy/truboprovodnaya-armatura-i-komplektuyushchie/2000540148-U411/","Открыть позицию")</x:f>
        <x:v>Открыть позицию</x:v>
      </x:c>
    </x:row>
    <x:row r="692" ht="28" customHeight="1">
      <x:c r="A692" s="16" t="str">
        <x:v>Ново-Кемеровская ТЭЦ</x:v>
      </x:c>
      <x:c r="B692" s="16" t="str">
        <x:v>2000540153-U411</x:v>
      </x:c>
      <x:c r="C692" s="16" t="str">
        <x:v>КРАН СТ20 ПП ВОДА 200° ПП 20/16 РП A</x:v>
      </x:c>
      <x:c r="D692" s="16" t="str">
        <x:v>Трубопроводная арматура общепромышленного назначения</x:v>
      </x:c>
      <x:c r="E692" s="16" t="str">
        <x:v>ШТ</x:v>
      </x:c>
      <x:c r="F692" s="21" t="n">
        <x:v>24</x:v>
      </x:c>
      <x:c r="G692" s="17" t="n">
        <x:v>422.791</x:v>
      </x:c>
      <x:c r="H692" s="17" t="n">
        <x:f>G692*F692</x:f>
        <x:v>10146.984</x:v>
      </x:c>
      <x:c r="I692" s="22" t="str">
        <x:f>HYPERLINK("https://etp-aktiv.ru/catalog/materialy/truboprovodnaya-armatura-i-komplektuyushchie/2000540153-U411/","Открыть позицию")</x:f>
        <x:v>Открыть позицию</x:v>
      </x:c>
    </x:row>
    <x:row r="693" ht="28" customHeight="1">
      <x:c r="A693" s="16" t="str">
        <x:v>Ново-Кемеровская ТЭЦ</x:v>
      </x:c>
      <x:c r="B693" s="16" t="str">
        <x:v>2000540158-U411</x:v>
      </x:c>
      <x:c r="C693" s="16" t="str">
        <x:v>КРАН СТ20 ПП ВОДА 200° ПП 25/16 РП A</x:v>
      </x:c>
      <x:c r="D693" s="16" t="str">
        <x:v>Трубопроводная арматура общепромышленного назначения</x:v>
      </x:c>
      <x:c r="E693" s="16" t="str">
        <x:v>ШТ</x:v>
      </x:c>
      <x:c r="F693" s="21" t="n">
        <x:v>7</x:v>
      </x:c>
      <x:c r="G693" s="17" t="n">
        <x:v>428.8178</x:v>
      </x:c>
      <x:c r="H693" s="17" t="n">
        <x:f>G693*F693</x:f>
        <x:v>3001.7246</x:v>
      </x:c>
      <x:c r="I693" s="22" t="str">
        <x:f>HYPERLINK("https://etp-aktiv.ru/catalog/materialy/truboprovodnaya-armatura-i-komplektuyushchie/2000540158-U411/","Открыть позицию")</x:f>
        <x:v>Открыть позицию</x:v>
      </x:c>
    </x:row>
    <x:row r="694" ht="28" customHeight="1">
      <x:c r="A694" s="16" t="str">
        <x:v>Ново-Кемеровская ТЭЦ</x:v>
      </x:c>
      <x:c r="B694" s="16" t="str">
        <x:v>2000540168-U411</x:v>
      </x:c>
      <x:c r="C694" s="16" t="str">
        <x:v>КРАН СТ20 ПП ВОДА 200° ПП 40/25 РП A</x:v>
      </x:c>
      <x:c r="D694" s="16" t="str">
        <x:v>Краны шаровые стальные</x:v>
      </x:c>
      <x:c r="E694" s="16" t="str">
        <x:v>ШТ</x:v>
      </x:c>
      <x:c r="F694" s="21" t="n">
        <x:v>2</x:v>
      </x:c>
      <x:c r="G694" s="17" t="n">
        <x:v>908.6315999999999</x:v>
      </x:c>
      <x:c r="H694" s="17" t="n">
        <x:f>G694*F694</x:f>
        <x:v>1817.2631999999999</x:v>
      </x:c>
      <x:c r="I694" s="22" t="str">
        <x:f>HYPERLINK("https://etp-aktiv.ru/catalog/materialy/truboprovodnaya-armatura-i-komplektuyushchie/2000540168-U411/","Открыть позицию")</x:f>
        <x:v>Открыть позицию</x:v>
      </x:c>
    </x:row>
    <x:row r="695" ht="28" customHeight="1">
      <x:c r="A695" s="16" t="str">
        <x:v>Ново-Кемеровская ТЭЦ</x:v>
      </x:c>
      <x:c r="B695" s="16" t="str">
        <x:v>2000540179-U411</x:v>
      </x:c>
      <x:c r="C695" s="16" t="str">
        <x:v>КРАН СТ20 ПП ВОДА 200° ПП 65/40 РП A</x:v>
      </x:c>
      <x:c r="D695" s="16" t="str">
        <x:v>Трубопр армат промыш</x:v>
      </x:c>
      <x:c r="E695" s="16" t="str">
        <x:v>ШТ</x:v>
      </x:c>
      <x:c r="F695" s="21" t="n">
        <x:v>10</x:v>
      </x:c>
      <x:c r="G695" s="17" t="n">
        <x:v>307.78159999999997</x:v>
      </x:c>
      <x:c r="H695" s="17" t="n">
        <x:f>G695*F695</x:f>
        <x:v>3077.816</x:v>
      </x:c>
      <x:c r="I695" s="22" t="str">
        <x:f>HYPERLINK("https://etp-aktiv.ru/catalog/materialy/truboprovodnaya-armatura-i-komplektuyushchie/2000540179-U411/","Открыть позицию")</x:f>
        <x:v>Открыть позицию</x:v>
      </x:c>
    </x:row>
    <x:row r="696" ht="28" customHeight="1">
      <x:c r="A696" s="16" t="str">
        <x:v>Ново-Кемеровская ТЭЦ</x:v>
      </x:c>
      <x:c r="B696" s="16" t="str">
        <x:v>2000540151-U411</x:v>
      </x:c>
      <x:c r="C696" s="16" t="str">
        <x:v>КРАН СТ20 ПП ВОДА 200° ПП DN150PN25 РП A</x:v>
      </x:c>
      <x:c r="D696" s="16" t="str">
        <x:v>Трубопроводная арматура общепромышленного назначения</x:v>
      </x:c>
      <x:c r="E696" s="16" t="str">
        <x:v>ШТ</x:v>
      </x:c>
      <x:c r="F696" s="21" t="n">
        <x:v>4</x:v>
      </x:c>
      <x:c r="G696" s="17" t="n">
        <x:v>3679.825</x:v>
      </x:c>
      <x:c r="H696" s="17" t="n">
        <x:f>G696*F696</x:f>
        <x:v>14719.3</x:v>
      </x:c>
      <x:c r="I696" s="22" t="str">
        <x:f>HYPERLINK("https://etp-aktiv.ru/catalog/materialy/truboprovodnaya-armatura-i-komplektuyushchie/2000540151-U411/","Открыть позицию")</x:f>
        <x:v>Открыть позицию</x:v>
      </x:c>
    </x:row>
    <x:row r="697" ht="28" customHeight="1">
      <x:c r="A697" s="16" t="str">
        <x:v>Ново-Кемеровская ТЭЦ</x:v>
      </x:c>
      <x:c r="B697" s="16" t="str">
        <x:v>2000540283-U411</x:v>
      </x:c>
      <x:c r="C697" s="16" t="str">
        <x:v>КРАН СТ20 СП ВОДА 200° ПП 20/25 РП A</x:v>
      </x:c>
      <x:c r="D697" s="16" t="str">
        <x:v>Трубопроводная арматура общепромышленного назначения</x:v>
      </x:c>
      <x:c r="E697" s="16" t="str">
        <x:v>ШТ</x:v>
      </x:c>
      <x:c r="F697" s="21" t="n">
        <x:v>2</x:v>
      </x:c>
      <x:c r="G697" s="17" t="n">
        <x:v>336.6468</x:v>
      </x:c>
      <x:c r="H697" s="17" t="n">
        <x:f>G697*F697</x:f>
        <x:v>673.2936</x:v>
      </x:c>
      <x:c r="I697" s="22" t="str">
        <x:f>HYPERLINK("https://etp-aktiv.ru/catalog/materialy/truboprovodnaya-armatura-i-komplektuyushchie/2000540283-U411/","Открыть позицию")</x:f>
        <x:v>Открыть позицию</x:v>
      </x:c>
    </x:row>
    <x:row r="698" ht="28" customHeight="1">
      <x:c r="A698" s="16" t="str">
        <x:v>Ново-Кемеровская ТЭЦ</x:v>
      </x:c>
      <x:c r="B698" s="16" t="str">
        <x:v>2000540327-U411</x:v>
      </x:c>
      <x:c r="C698" s="16" t="str">
        <x:v>КРАН СТ20 СП ВОДА 200° ФЛ 20/40 РП A</x:v>
      </x:c>
      <x:c r="D698" s="16" t="str">
        <x:v>Трубопроводная арматура общепромышленного назначения</x:v>
      </x:c>
      <x:c r="E698" s="16" t="str">
        <x:v>ШТ</x:v>
      </x:c>
      <x:c r="F698" s="21" t="n">
        <x:v>4</x:v>
      </x:c>
      <x:c r="G698" s="17" t="n">
        <x:v>645.8435999999999</x:v>
      </x:c>
      <x:c r="H698" s="17" t="n">
        <x:f>G698*F698</x:f>
        <x:v>2583.3743999999997</x:v>
      </x:c>
      <x:c r="I698" s="22" t="str">
        <x:f>HYPERLINK("https://etp-aktiv.ru/catalog/materialy/truboprovodnaya-armatura-i-komplektuyushchie/2000540327-U411/","Открыть позицию")</x:f>
        <x:v>Открыть позицию</x:v>
      </x:c>
    </x:row>
    <x:row r="699" ht="28" customHeight="1">
      <x:c r="A699" s="16" t="str">
        <x:v>Ново-Кемеровская ТЭЦ</x:v>
      </x:c>
      <x:c r="B699" s="16" t="str">
        <x:v>2000879956-U411</x:v>
      </x:c>
      <x:c r="C699" s="16" t="str">
        <x:v>КРАН ШАРОВОЙ СП ЛЦ ВОДА ВН DN15 PN40 РП</x:v>
      </x:c>
      <x:c r="D699" s="16" t="str">
        <x:v>Трубопроводная арматура общепромышленного назначения</x:v>
      </x:c>
      <x:c r="E699" s="16" t="str">
        <x:v>ШТ</x:v>
      </x:c>
      <x:c r="F699" s="21" t="n">
        <x:v>4</x:v>
      </x:c>
      <x:c r="G699" s="17" t="n">
        <x:v>265.74039999999997</x:v>
      </x:c>
      <x:c r="H699" s="17" t="n">
        <x:f>G699*F699</x:f>
        <x:v>1062.9615999999999</x:v>
      </x:c>
      <x:c r="I699" s="22" t="str">
        <x:f>HYPERLINK("https://etp-aktiv.ru/catalog/materialy/truboprovodnaya-armatura-i-komplektuyushchie/2000879956-U411/","Открыть позицию")</x:f>
        <x:v>Открыть позицию</x:v>
      </x:c>
    </x:row>
    <x:row r="700" ht="28" customHeight="1">
      <x:c r="A700" s="16" t="str">
        <x:v>Ново-Кемеровская ТЭЦ</x:v>
      </x:c>
      <x:c r="B700" s="16" t="str">
        <x:v>2000254935-U411</x:v>
      </x:c>
      <x:c r="C700" s="16" t="str">
        <x:v>КРАН ШАРОВЫЙ 11НЖ38П DN20 PN16</x:v>
      </x:c>
      <x:c r="D700" s="16" t="str">
        <x:v>Краны шаровые стальные</x:v>
      </x:c>
      <x:c r="E700" s="16" t="str">
        <x:v>ШТ</x:v>
      </x:c>
      <x:c r="F700" s="21" t="n">
        <x:v>2</x:v>
      </x:c>
      <x:c r="G700" s="17" t="n">
        <x:v>8160.275</x:v>
      </x:c>
      <x:c r="H700" s="17" t="n">
        <x:f>G700*F700</x:f>
        <x:v>16320.55</x:v>
      </x:c>
      <x:c r="I700" s="22" t="str">
        <x:f>HYPERLINK("https://etp-aktiv.ru/catalog/materialy/truboprovodnaya-armatura-i-komplektuyushchie/2000254935-U411/","Открыть позицию")</x:f>
        <x:v>Открыть позицию</x:v>
      </x:c>
    </x:row>
    <x:row r="701" ht="28" customHeight="1">
      <x:c r="A701" s="16" t="str">
        <x:v>Ново-Кемеровская ТЭЦ</x:v>
      </x:c>
      <x:c r="B701" s="16" t="str">
        <x:v>2000473442-U411</x:v>
      </x:c>
      <x:c r="C701" s="16" t="str">
        <x:v>КРАН ШАРОВЫЙ VT.214.N.04 DN15 PN16</x:v>
      </x:c>
      <x:c r="D701" s="16" t="str">
        <x:v>Трубопроводная арматура общепромышленного назначения</x:v>
      </x:c>
      <x:c r="E701" s="16" t="str">
        <x:v>ШТ</x:v>
      </x:c>
      <x:c r="F701" s="21" t="n">
        <x:v>20</x:v>
      </x:c>
      <x:c r="G701" s="17" t="n">
        <x:v>1247.877</x:v>
      </x:c>
      <x:c r="H701" s="17" t="n">
        <x:f>G701*F701</x:f>
        <x:v>24957.54</x:v>
      </x:c>
      <x:c r="I701" s="22" t="str">
        <x:f>HYPERLINK("https://etp-aktiv.ru/catalog/materialy/truboprovodnaya-armatura-i-komplektuyushchie/2000473442-U411/","Открыть позицию")</x:f>
        <x:v>Открыть позицию</x:v>
      </x:c>
    </x:row>
    <x:row r="702" ht="28" customHeight="1">
      <x:c r="A702" s="16" t="str">
        <x:v>Ново-Кемеровская ТЭЦ</x:v>
      </x:c>
      <x:c r="B702" s="16" t="str">
        <x:v>2000473443-U411</x:v>
      </x:c>
      <x:c r="C702" s="16" t="str">
        <x:v>КРАН ШАРОВЫЙ VT.214.N.05 DN20 PN16</x:v>
      </x:c>
      <x:c r="D702" s="16" t="str">
        <x:v>Трубопроводная арматура общепромышленного назначения</x:v>
      </x:c>
      <x:c r="E702" s="16" t="str">
        <x:v>ШТ</x:v>
      </x:c>
      <x:c r="F702" s="21" t="n">
        <x:v>4</x:v>
      </x:c>
      <x:c r="G702" s="17" t="n">
        <x:v>100.3694</x:v>
      </x:c>
      <x:c r="H702" s="17" t="n">
        <x:f>G702*F702</x:f>
        <x:v>401.4776</x:v>
      </x:c>
      <x:c r="I702" s="22" t="str">
        <x:f>HYPERLINK("https://etp-aktiv.ru/catalog/materialy/truboprovodnaya-armatura-i-komplektuyushchie/2000473443-U411/","Открыть позицию")</x:f>
        <x:v>Открыть позицию</x:v>
      </x:c>
    </x:row>
    <x:row r="703" ht="28" customHeight="1">
      <x:c r="A703" s="16" t="str">
        <x:v>Ново-Кемеровская ТЭЦ</x:v>
      </x:c>
      <x:c r="B703" s="16" t="str">
        <x:v>2000963489-U411</x:v>
      </x:c>
      <x:c r="C703" s="16" t="str">
        <x:v>КРАН ШАРОВЫЙ ПП ЛЦ ВОДА ВН DN50 PN20 РП</x:v>
      </x:c>
      <x:c r="D703" s="16" t="str">
        <x:v>Арматура из медных сплавов</x:v>
      </x:c>
      <x:c r="E703" s="16" t="str">
        <x:v>ШТ</x:v>
      </x:c>
      <x:c r="F703" s="21" t="n">
        <x:v>4</x:v>
      </x:c>
      <x:c r="G703" s="17" t="n">
        <x:v>2001.5686</x:v>
      </x:c>
      <x:c r="H703" s="17" t="n">
        <x:f>G703*F703</x:f>
        <x:v>8006.2744</x:v>
      </x:c>
      <x:c r="I703" s="22" t="str">
        <x:f>HYPERLINK("https://etp-aktiv.ru/catalog/materialy/truboprovodnaya-armatura-i-komplektuyushchie/2000963489-U411/","Открыть позицию")</x:f>
        <x:v>Открыть позицию</x:v>
      </x:c>
    </x:row>
    <x:row r="704" ht="28" customHeight="1">
      <x:c r="A704" s="16" t="str">
        <x:v>Ново-Кемеровская ТЭЦ</x:v>
      </x:c>
      <x:c r="B704" s="16" t="str">
        <x:v>2000786563-U411</x:v>
      </x:c>
      <x:c r="C704" s="16" t="str">
        <x:v>КРАН ШАРОВЫЙ СП ЛЦ ВОДА ВВ DN15 PN40 РП</x:v>
      </x:c>
      <x:c r="D704" s="16" t="str">
        <x:v>Трубопроводная арматура общепромышленного назначения</x:v>
      </x:c>
      <x:c r="E704" s="16" t="str">
        <x:v>ШТ</x:v>
      </x:c>
      <x:c r="F704" s="21" t="n">
        <x:v>2</x:v>
      </x:c>
      <x:c r="G704" s="17" t="n">
        <x:v>610</x:v>
      </x:c>
      <x:c r="H704" s="17" t="n">
        <x:f>G704*F704</x:f>
        <x:v>1220</x:v>
      </x:c>
      <x:c r="I704" s="22" t="str">
        <x:f>HYPERLINK("https://etp-aktiv.ru/catalog/materialy/truboprovodnaya-armatura-i-komplektuyushchie/2000786563-U411/","Открыть позицию")</x:f>
        <x:v>Открыть позицию</x:v>
      </x:c>
    </x:row>
    <x:row r="705" ht="28" customHeight="1">
      <x:c r="A705" s="16" t="str">
        <x:v>Ново-Кемеровская ТЭЦ</x:v>
      </x:c>
      <x:c r="B705" s="16" t="str">
        <x:v>2000898049-U411</x:v>
      </x:c>
      <x:c r="C705" s="16" t="str">
        <x:v>КРАН ШАРОВЫЙ СП СТ20 ВОДА ПП 50 16 РП</x:v>
      </x:c>
      <x:c r="D705" s="16" t="str">
        <x:v>Трубопроводная арматура общепромышленного назначения</x:v>
      </x:c>
      <x:c r="E705" s="16" t="str">
        <x:v>ШТ</x:v>
      </x:c>
      <x:c r="F705" s="21" t="n">
        <x:v>2</x:v>
      </x:c>
      <x:c r="G705" s="17" t="n">
        <x:v>1048.8218</x:v>
      </x:c>
      <x:c r="H705" s="17" t="n">
        <x:f>G705*F705</x:f>
        <x:v>2097.6436</x:v>
      </x:c>
      <x:c r="I705" s="22" t="str">
        <x:f>HYPERLINK("https://etp-aktiv.ru/catalog/materialy/truboprovodnaya-armatura-i-komplektuyushchie/2000898049-U411/","Открыть позицию")</x:f>
        <x:v>Открыть позицию</x:v>
      </x:c>
    </x:row>
    <x:row r="706" ht="28" customHeight="1">
      <x:c r="A706" s="16" t="str">
        <x:v>Ново-Кемеровская ТЭЦ</x:v>
      </x:c>
      <x:c r="B706" s="16" t="str">
        <x:v>2000927144-U411</x:v>
      </x:c>
      <x:c r="C706" s="16" t="str">
        <x:v>КРАН ШАРОВЫЙ СП СТ20 МАСЛО ФЛ 50 40 РП</x:v>
      </x:c>
      <x:c r="D706" s="16" t="str">
        <x:v>Краны шаровые стальные</x:v>
      </x:c>
      <x:c r="E706" s="16" t="str">
        <x:v>ШТ</x:v>
      </x:c>
      <x:c r="F706" s="21" t="n">
        <x:v>3</x:v>
      </x:c>
      <x:c r="G706" s="17" t="n">
        <x:v>1369.8526</x:v>
      </x:c>
      <x:c r="H706" s="17" t="n">
        <x:f>G706*F706</x:f>
        <x:v>4109.5578</x:v>
      </x:c>
      <x:c r="I706" s="22" t="str">
        <x:f>HYPERLINK("https://etp-aktiv.ru/catalog/materialy/truboprovodnaya-armatura-i-komplektuyushchie/2000927144-U411/","Открыть позицию")</x:f>
        <x:v>Открыть позицию</x:v>
      </x:c>
    </x:row>
    <x:row r="707" ht="28" customHeight="1">
      <x:c r="A707" s="16" t="str">
        <x:v>Ново-Кемеровская ТЭЦ</x:v>
      </x:c>
      <x:c r="B707" s="16" t="str">
        <x:v>2000250082-U411</x:v>
      </x:c>
      <x:c r="C707" s="16" t="str">
        <x:v>КРАН ШАРОВЫЙ СТ20 DN25 PN25</x:v>
      </x:c>
      <x:c r="D707" s="16" t="str">
        <x:v>Краны шаровые стальные</x:v>
      </x:c>
      <x:c r="E707" s="16" t="str">
        <x:v>ШТ</x:v>
      </x:c>
      <x:c r="F707" s="21" t="n">
        <x:v>1</x:v>
      </x:c>
      <x:c r="G707" s="17" t="n">
        <x:v>1365.5459999999998</x:v>
      </x:c>
      <x:c r="H707" s="17" t="n">
        <x:f>G707*F707</x:f>
        <x:v>1365.5459999999998</x:v>
      </x:c>
      <x:c r="I707" s="22" t="str">
        <x:f>HYPERLINK("https://etp-aktiv.ru/catalog/materialy/truboprovodnaya-armatura-i-komplektuyushchie/2000250082-U411/","Открыть позицию")</x:f>
        <x:v>Открыть позицию</x:v>
      </x:c>
    </x:row>
    <x:row r="708" ht="28" customHeight="1">
      <x:c r="A708" s="16" t="str">
        <x:v>Ново-Кемеровская ТЭЦ</x:v>
      </x:c>
      <x:c r="B708" s="16" t="str">
        <x:v>2000388689-U411</x:v>
      </x:c>
      <x:c r="C708" s="16" t="str">
        <x:v>КРАН-БУКСА 00-00062380 FRAP 1/2</x:v>
      </x:c>
      <x:c r="D708" s="16" t="str">
        <x:v>Запасные части к трубопроводной арматуре</x:v>
      </x:c>
      <x:c r="E708" s="16" t="str">
        <x:v>ШТ</x:v>
      </x:c>
      <x:c r="F708" s="21" t="n">
        <x:v>10</x:v>
      </x:c>
      <x:c r="G708" s="17" t="n">
        <x:v>315.675</x:v>
      </x:c>
      <x:c r="H708" s="17" t="n">
        <x:f>G708*F708</x:f>
        <x:v>3156.75</x:v>
      </x:c>
      <x:c r="I708" s="22" t="str">
        <x:f>HYPERLINK("https://etp-aktiv.ru/catalog/materialy/truboprovodnaya-armatura-i-komplektuyushchie/2000388689-U411/","Открыть позицию")</x:f>
        <x:v>Открыть позицию</x:v>
      </x:c>
    </x:row>
    <x:row r="709" ht="28" customHeight="1">
      <x:c r="A709" s="16" t="str">
        <x:v>Ново-Кемеровская ТЭЦ</x:v>
      </x:c>
      <x:c r="B709" s="16" t="str">
        <x:v>2000552884-U411</x:v>
      </x:c>
      <x:c r="C709" s="16" t="str">
        <x:v>ЛЮК Т(С250)-В.1-60 ЧУГУН ГОСТ3634-99</x:v>
      </x:c>
      <x:c r="D709" s="16" t="str">
        <x:v>Детали фасонные</x:v>
      </x:c>
      <x:c r="E709" s="16" t="str">
        <x:v>ШТ</x:v>
      </x:c>
      <x:c r="F709" s="21" t="n">
        <x:v>1</x:v>
      </x:c>
      <x:c r="G709" s="17" t="n">
        <x:v>1722.8474</x:v>
      </x:c>
      <x:c r="H709" s="17" t="n">
        <x:f>G709*F709</x:f>
        <x:v>1722.8474</x:v>
      </x:c>
      <x:c r="I709" s="22" t="str">
        <x:f>HYPERLINK("https://etp-aktiv.ru/catalog/materialy/truboprovody/2000552884-U411/","Открыть позицию")</x:f>
        <x:v>Открыть позицию</x:v>
      </x:c>
    </x:row>
    <x:row r="710" ht="28" customHeight="1">
      <x:c r="A710" s="16" t="str">
        <x:v>Ново-Кемеровская ТЭЦ</x:v>
      </x:c>
      <x:c r="B710" s="16" t="str">
        <x:v>2000633368-U411</x:v>
      </x:c>
      <x:c r="C710" s="16" t="str">
        <x:v>ОТВОД 90 273*32-6000 12Х1МФ ОСТ24.321.04</x:v>
      </x:c>
      <x:c r="D710" s="16" t="str">
        <x:v>Трубопроводы и элементы трубопроводов высокого давления</x:v>
      </x:c>
      <x:c r="E710" s="16" t="str">
        <x:v>ШТ</x:v>
      </x:c>
      <x:c r="F710" s="21" t="n">
        <x:v>4</x:v>
      </x:c>
      <x:c r="G710" s="17" t="n">
        <x:v>731993.9</x:v>
      </x:c>
      <x:c r="H710" s="17" t="n">
        <x:f>G710*F710</x:f>
        <x:v>2927975.6</x:v>
      </x:c>
      <x:c r="I710" s="22" t="str">
        <x:f>HYPERLINK("https://etp-aktiv.ru/catalog/materialy/truboprovody/2000633368-U411/","Открыть позицию")</x:f>
        <x:v>Открыть позицию</x:v>
      </x:c>
    </x:row>
    <x:row r="711" ht="28" customHeight="1">
      <x:c r="A711" s="16" t="str">
        <x:v>Ново-Кемеровская ТЭЦ</x:v>
      </x:c>
      <x:c r="B711" s="16" t="str">
        <x:v>2000558983-U411</x:v>
      </x:c>
      <x:c r="C711" s="16" t="str">
        <x:v>ОТВОД 90 377*45-5752 12Х1МФ ОСТ24.321.04</x:v>
      </x:c>
      <x:c r="D711" s="16" t="str">
        <x:v>Трубопроводы и элементы трубопроводов высокого давления</x:v>
      </x:c>
      <x:c r="E711" s="16" t="str">
        <x:v>ШТ</x:v>
      </x:c>
      <x:c r="F711" s="21" t="n">
        <x:v>2</x:v>
      </x:c>
      <x:c r="G711" s="17" t="n">
        <x:v>1788492.55</x:v>
      </x:c>
      <x:c r="H711" s="17" t="n">
        <x:f>G711*F711</x:f>
        <x:v>3576985.1</x:v>
      </x:c>
      <x:c r="I711" s="22" t="str">
        <x:f>HYPERLINK("https://etp-aktiv.ru/catalog/materialy/truboprovody/2000558983-U411/","Открыть позицию")</x:f>
        <x:v>Открыть позицию</x:v>
      </x:c>
    </x:row>
    <x:row r="712" ht="28" customHeight="1">
      <x:c r="A712" s="16" t="str">
        <x:v>Ново-Кемеровская ТЭЦ</x:v>
      </x:c>
      <x:c r="B712" s="16" t="str">
        <x:v>2000256079-U411</x:v>
      </x:c>
      <x:c r="C712" s="16" t="str">
        <x:v>ОТВОД 90° 17Г1С DN426 12 ГОСТ30753-01</x:v>
      </x:c>
      <x:c r="D712" s="16" t="str">
        <x:v>Детали фасонные</x:v>
      </x:c>
      <x:c r="E712" s="16" t="str">
        <x:v>ШТ</x:v>
      </x:c>
      <x:c r="F712" s="21" t="n">
        <x:v>3</x:v>
      </x:c>
      <x:c r="G712" s="17" t="n">
        <x:v>19520</x:v>
      </x:c>
      <x:c r="H712" s="17" t="n">
        <x:f>G712*F712</x:f>
        <x:v>58560</x:v>
      </x:c>
      <x:c r="I712" s="22" t="str">
        <x:f>HYPERLINK("https://etp-aktiv.ru/catalog/materialy/truboprovody/2000256079-U411/","Открыть позицию")</x:f>
        <x:v>Открыть позицию</x:v>
      </x:c>
    </x:row>
    <x:row r="713" ht="28" customHeight="1">
      <x:c r="A713" s="16" t="str">
        <x:v>Ново-Кемеровская ТЭЦ</x:v>
      </x:c>
      <x:c r="B713" s="16" t="str">
        <x:v>2000785182-U411</x:v>
      </x:c>
      <x:c r="C713" s="16" t="str">
        <x:v>ОТВОД 90° 325*28-5752 15ГС 70 ЦКТИ321.01</x:v>
      </x:c>
      <x:c r="D713" s="16" t="str">
        <x:v>Трубопроводы и элементы трубопроводов высокого давления</x:v>
      </x:c>
      <x:c r="E713" s="16" t="str">
        <x:v>ШТ</x:v>
      </x:c>
      <x:c r="F713" s="21" t="n">
        <x:v>1</x:v>
      </x:c>
      <x:c r="G713" s="17" t="n">
        <x:v>844829.26</x:v>
      </x:c>
      <x:c r="H713" s="17" t="n">
        <x:f>G713*F713</x:f>
        <x:v>844829.26</x:v>
      </x:c>
      <x:c r="I713" s="22" t="str">
        <x:f>HYPERLINK("https://etp-aktiv.ru/catalog/materialy/truboprovody/2000785182-U411/","Открыть позицию")</x:f>
        <x:v>Открыть позицию</x:v>
      </x:c>
    </x:row>
    <x:row r="714" ht="28" customHeight="1">
      <x:c r="A714" s="16" t="str">
        <x:v>Ново-Кемеровская ТЭЦ</x:v>
      </x:c>
      <x:c r="B714" s="16" t="str">
        <x:v>2000575310-U411</x:v>
      </x:c>
      <x:c r="C714" s="16" t="str">
        <x:v>ОТВОД 90° СТ20 133*6 ГОСТ30753-2001</x:v>
      </x:c>
      <x:c r="D714" s="16" t="str">
        <x:v>Детали фасонные</x:v>
      </x:c>
      <x:c r="E714" s="16" t="str">
        <x:v>ШТ</x:v>
      </x:c>
      <x:c r="F714" s="21" t="n">
        <x:v>3</x:v>
      </x:c>
      <x:c r="G714" s="17" t="n">
        <x:v>253.9186</x:v>
      </x:c>
      <x:c r="H714" s="17" t="n">
        <x:f>G714*F714</x:f>
        <x:v>761.7558</x:v>
      </x:c>
      <x:c r="I714" s="22" t="str">
        <x:f>HYPERLINK("https://etp-aktiv.ru/catalog/materialy/truboprovody/2000575310-U411/","Открыть позицию")</x:f>
        <x:v>Открыть позицию</x:v>
      </x:c>
    </x:row>
    <x:row r="715" ht="28" customHeight="1">
      <x:c r="A715" s="16" t="str">
        <x:v>Ново-Кемеровская ТЭЦ</x:v>
      </x:c>
      <x:c r="B715" s="16" t="str">
        <x:v>2000032705-U411</x:v>
      </x:c>
      <x:c r="C715" s="16" t="str">
        <x:v>ОТВОД 90° СТ20 219*6 ГОСТ17375-01</x:v>
      </x:c>
      <x:c r="D715" s="16" t="str">
        <x:v>Детали фасонные</x:v>
      </x:c>
      <x:c r="E715" s="16" t="str">
        <x:v>ШТ</x:v>
      </x:c>
      <x:c r="F715" s="21" t="n">
        <x:v>6</x:v>
      </x:c>
      <x:c r="G715" s="17" t="n">
        <x:v>670.2436</x:v>
      </x:c>
      <x:c r="H715" s="17" t="n">
        <x:f>G715*F715</x:f>
        <x:v>4021.4616</x:v>
      </x:c>
      <x:c r="I715" s="22" t="str">
        <x:f>HYPERLINK("https://etp-aktiv.ru/catalog/materialy/truboprovody/2000032705-U411/","Открыть позицию")</x:f>
        <x:v>Открыть позицию</x:v>
      </x:c>
    </x:row>
    <x:row r="716" ht="28" customHeight="1">
      <x:c r="A716" s="16" t="str">
        <x:v>Ново-Кемеровская ТЭЦ</x:v>
      </x:c>
      <x:c r="B716" s="16" t="str">
        <x:v>2000140263-U411</x:v>
      </x:c>
      <x:c r="C716" s="16" t="str">
        <x:v>ОТВОД 90° СТ20 89*4 ГОСТ17375-01</x:v>
      </x:c>
      <x:c r="D716" s="16" t="str">
        <x:v>Детали фасонные</x:v>
      </x:c>
      <x:c r="E716" s="16" t="str">
        <x:v>ШТ</x:v>
      </x:c>
      <x:c r="F716" s="21" t="n">
        <x:v>15</x:v>
      </x:c>
      <x:c r="G716" s="17" t="n">
        <x:v>111.3616</x:v>
      </x:c>
      <x:c r="H716" s="17" t="n">
        <x:f>G716*F716</x:f>
        <x:v>1670.424</x:v>
      </x:c>
      <x:c r="I716" s="22" t="str">
        <x:f>HYPERLINK("https://etp-aktiv.ru/catalog/materialy/truboprovody/2000140263-U411/","Открыть позицию")</x:f>
        <x:v>Открыть позицию</x:v>
      </x:c>
    </x:row>
    <x:row r="717" ht="28" customHeight="1">
      <x:c r="A717" s="16" t="str">
        <x:v>Ново-Кемеровская ТЭЦ</x:v>
      </x:c>
      <x:c r="B717" s="16" t="str">
        <x:v>2000148451-U411</x:v>
      </x:c>
      <x:c r="C717" s="16" t="str">
        <x:v>ОТВОД 90° СТ20 DN108 4 ГОСТ17375-01</x:v>
      </x:c>
      <x:c r="D717" s="16" t="str">
        <x:v>Детали фасонные</x:v>
      </x:c>
      <x:c r="E717" s="16" t="str">
        <x:v>ШТ</x:v>
      </x:c>
      <x:c r="F717" s="21" t="n">
        <x:v>10</x:v>
      </x:c>
      <x:c r="G717" s="17" t="n">
        <x:v>248.5872</x:v>
      </x:c>
      <x:c r="H717" s="17" t="n">
        <x:f>G717*F717</x:f>
        <x:v>2485.872</x:v>
      </x:c>
      <x:c r="I717" s="22" t="str">
        <x:f>HYPERLINK("https://etp-aktiv.ru/catalog/materialy/truboprovody/2000148451-U411/","Открыть позицию")</x:f>
        <x:v>Открыть позицию</x:v>
      </x:c>
    </x:row>
    <x:row r="718" ht="28" customHeight="1">
      <x:c r="A718" s="16" t="str">
        <x:v>Ново-Кемеровская ТЭЦ</x:v>
      </x:c>
      <x:c r="B718" s="16" t="str">
        <x:v>2000140257-U411</x:v>
      </x:c>
      <x:c r="C718" s="16" t="str">
        <x:v>ОТВОД 90° СТ20 DN108 6 ГОСТ17375-01</x:v>
      </x:c>
      <x:c r="D718" s="16" t="str">
        <x:v>Детали фасонные</x:v>
      </x:c>
      <x:c r="E718" s="16" t="str">
        <x:v>ШТ</x:v>
      </x:c>
      <x:c r="F718" s="21" t="n">
        <x:v>7</x:v>
      </x:c>
      <x:c r="G718" s="17" t="n">
        <x:v>219.38039999999998</x:v>
      </x:c>
      <x:c r="H718" s="17" t="n">
        <x:f>G718*F718</x:f>
        <x:v>1535.6627999999998</x:v>
      </x:c>
      <x:c r="I718" s="22" t="str">
        <x:f>HYPERLINK("https://etp-aktiv.ru/catalog/materialy/truboprovody/2000140257-U411/","Открыть позицию")</x:f>
        <x:v>Открыть позицию</x:v>
      </x:c>
    </x:row>
    <x:row r="719" ht="28" customHeight="1">
      <x:c r="A719" s="16" t="str">
        <x:v>Ново-Кемеровская ТЭЦ</x:v>
      </x:c>
      <x:c r="B719" s="16" t="str">
        <x:v>2000140265-U411</x:v>
      </x:c>
      <x:c r="C719" s="16" t="str">
        <x:v>ОТВОД 90° СТ20 DN159 6 ГОСТ17375-01</x:v>
      </x:c>
      <x:c r="D719" s="16" t="str">
        <x:v>Детали фасонные</x:v>
      </x:c>
      <x:c r="E719" s="16" t="str">
        <x:v>ШТ</x:v>
      </x:c>
      <x:c r="F719" s="21" t="n">
        <x:v>2</x:v>
      </x:c>
      <x:c r="G719" s="17" t="n">
        <x:v>456.8168</x:v>
      </x:c>
      <x:c r="H719" s="17" t="n">
        <x:f>G719*F719</x:f>
        <x:v>913.6336</x:v>
      </x:c>
      <x:c r="I719" s="22" t="str">
        <x:f>HYPERLINK("https://etp-aktiv.ru/catalog/materialy/truboprovody/2000140265-U411/","Открыть позицию")</x:f>
        <x:v>Открыть позицию</x:v>
      </x:c>
    </x:row>
    <x:row r="720" ht="28" customHeight="1">
      <x:c r="A720" s="16" t="str">
        <x:v>Ново-Кемеровская ТЭЦ</x:v>
      </x:c>
      <x:c r="B720" s="16" t="str">
        <x:v>2000554419-U411</x:v>
      </x:c>
      <x:c r="C720" s="16" t="str">
        <x:v>ОТВОД 90° СТ20 DN159*8 ГОСТ30753-2001</x:v>
      </x:c>
      <x:c r="D720" s="16" t="str">
        <x:v>Детали фасонные</x:v>
      </x:c>
      <x:c r="E720" s="16" t="str">
        <x:v>ШТ</x:v>
      </x:c>
      <x:c r="F720" s="21" t="n">
        <x:v>2</x:v>
      </x:c>
      <x:c r="G720" s="17" t="n">
        <x:v>1298.0678</x:v>
      </x:c>
      <x:c r="H720" s="17" t="n">
        <x:f>G720*F720</x:f>
        <x:v>2596.1356</x:v>
      </x:c>
      <x:c r="I720" s="22" t="str">
        <x:f>HYPERLINK("https://etp-aktiv.ru/catalog/materialy/truboprovody/2000554419-U411/","Открыть позицию")</x:f>
        <x:v>Открыть позицию</x:v>
      </x:c>
    </x:row>
    <x:row r="721" ht="28" customHeight="1">
      <x:c r="A721" s="16" t="str">
        <x:v>Ново-Кемеровская ТЭЦ</x:v>
      </x:c>
      <x:c r="B721" s="16" t="str">
        <x:v>2000153596-U411</x:v>
      </x:c>
      <x:c r="C721" s="16" t="str">
        <x:v>ОТВОД 90° СТ20 DN219 8 ГОСТ17375-01</x:v>
      </x:c>
      <x:c r="D721" s="16" t="str">
        <x:v>Детали фасонные</x:v>
      </x:c>
      <x:c r="E721" s="16" t="str">
        <x:v>ШТ</x:v>
      </x:c>
      <x:c r="F721" s="21" t="n">
        <x:v>2</x:v>
      </x:c>
      <x:c r="G721" s="17" t="n">
        <x:v>882.975</x:v>
      </x:c>
      <x:c r="H721" s="17" t="n">
        <x:f>G721*F721</x:f>
        <x:v>1765.95</x:v>
      </x:c>
      <x:c r="I721" s="22" t="str">
        <x:f>HYPERLINK("https://etp-aktiv.ru/catalog/materialy/truboprovody/2000153596-U411/","Открыть позицию")</x:f>
        <x:v>Открыть позицию</x:v>
      </x:c>
    </x:row>
    <x:row r="722" ht="28" customHeight="1">
      <x:c r="A722" s="16" t="str">
        <x:v>Ново-Кемеровская ТЭЦ</x:v>
      </x:c>
      <x:c r="B722" s="16" t="str">
        <x:v>2000554435-U411</x:v>
      </x:c>
      <x:c r="C722" s="16" t="str">
        <x:v>ОТВОД 90° СТ20 DN219*8 ОСТ34.10.699-97</x:v>
      </x:c>
      <x:c r="D722" s="16" t="str">
        <x:v>Детали фасонные</x:v>
      </x:c>
      <x:c r="E722" s="16" t="str">
        <x:v>ШТ</x:v>
      </x:c>
      <x:c r="F722" s="21" t="n">
        <x:v>1</x:v>
      </x:c>
      <x:c r="G722" s="17" t="n">
        <x:v>2741.5718</x:v>
      </x:c>
      <x:c r="H722" s="17" t="n">
        <x:f>G722*F722</x:f>
        <x:v>2741.5718</x:v>
      </x:c>
      <x:c r="I722" s="22" t="str">
        <x:f>HYPERLINK("https://etp-aktiv.ru/catalog/materialy/truboprovody/2000554435-U411/","Открыть позицию")</x:f>
        <x:v>Открыть позицию</x:v>
      </x:c>
    </x:row>
    <x:row r="723" ht="28" customHeight="1">
      <x:c r="A723" s="16" t="str">
        <x:v>Ново-Кемеровская ТЭЦ</x:v>
      </x:c>
      <x:c r="B723" s="16" t="str">
        <x:v>2000554452-U411</x:v>
      </x:c>
      <x:c r="C723" s="16" t="str">
        <x:v>ОТВОД 90° СТ20 DN377*10 ОСТ34.10.699-97</x:v>
      </x:c>
      <x:c r="D723" s="16" t="str">
        <x:v>Детали фасонные</x:v>
      </x:c>
      <x:c r="E723" s="16" t="str">
        <x:v>ШТ</x:v>
      </x:c>
      <x:c r="F723" s="21" t="n">
        <x:v>1</x:v>
      </x:c>
      <x:c r="G723" s="17" t="n">
        <x:v>6860.2186</x:v>
      </x:c>
      <x:c r="H723" s="17" t="n">
        <x:f>G723*F723</x:f>
        <x:v>6860.2186</x:v>
      </x:c>
      <x:c r="I723" s="22" t="str">
        <x:f>HYPERLINK("https://etp-aktiv.ru/catalog/materialy/truboprovody/2000554452-U411/","Открыть позицию")</x:f>
        <x:v>Открыть позицию</x:v>
      </x:c>
    </x:row>
    <x:row r="724" ht="28" customHeight="1">
      <x:c r="A724" s="16" t="str">
        <x:v>Ново-Кемеровская ТЭЦ</x:v>
      </x:c>
      <x:c r="B724" s="16" t="str">
        <x:v>2000140262-U411</x:v>
      </x:c>
      <x:c r="C724" s="16" t="str">
        <x:v>ОТВОД 90° СТ20 DN76 4 ГОСТ17375-01</x:v>
      </x:c>
      <x:c r="D724" s="16" t="str">
        <x:v>Детали фасонные</x:v>
      </x:c>
      <x:c r="E724" s="16" t="str">
        <x:v>ШТ</x:v>
      </x:c>
      <x:c r="F724" s="21" t="n">
        <x:v>31</x:v>
      </x:c>
      <x:c r="G724" s="17" t="n">
        <x:v>76.99419999999999</x:v>
      </x:c>
      <x:c r="H724" s="17" t="n">
        <x:f>G724*F724</x:f>
        <x:v>2386.8201999999997</x:v>
      </x:c>
      <x:c r="I724" s="22" t="str">
        <x:f>HYPERLINK("https://etp-aktiv.ru/catalog/materialy/truboprovody/2000140262-U411/","Открыть позицию")</x:f>
        <x:v>Открыть позицию</x:v>
      </x:c>
    </x:row>
    <x:row r="725" ht="28" customHeight="1">
      <x:c r="A725" s="16" t="str">
        <x:v>Ново-Кемеровская ТЭЦ</x:v>
      </x:c>
      <x:c r="B725" s="16" t="str">
        <x:v>2000143768-U411</x:v>
      </x:c>
      <x:c r="C725" s="16" t="str">
        <x:v>ОТВОД 90° СТ20 DN76 5 ГОСТ17375-01</x:v>
      </x:c>
      <x:c r="D725" s="16" t="str">
        <x:v>Детали фасонные</x:v>
      </x:c>
      <x:c r="E725" s="16" t="str">
        <x:v>ШТ</x:v>
      </x:c>
      <x:c r="F725" s="21" t="n">
        <x:v>6</x:v>
      </x:c>
      <x:c r="G725" s="17" t="n">
        <x:v>101.4064</x:v>
      </x:c>
      <x:c r="H725" s="17" t="n">
        <x:f>G725*F725</x:f>
        <x:v>608.4384</x:v>
      </x:c>
      <x:c r="I725" s="22" t="str">
        <x:f>HYPERLINK("https://etp-aktiv.ru/catalog/materialy/truboprovody/2000143768-U411/","Открыть позицию")</x:f>
        <x:v>Открыть позицию</x:v>
      </x:c>
    </x:row>
    <x:row r="726" ht="28" customHeight="1">
      <x:c r="A726" s="16" t="str">
        <x:v>Ново-Кемеровская ТЭЦ</x:v>
      </x:c>
      <x:c r="B726" s="16" t="str">
        <x:v>2000227077-U411</x:v>
      </x:c>
      <x:c r="C726" s="16" t="str">
        <x:v>ОТВОД 90° СТ20 DN89 4,5 ГОСТ17375-01</x:v>
      </x:c>
      <x:c r="D726" s="16" t="str">
        <x:v>Детали фасонные</x:v>
      </x:c>
      <x:c r="E726" s="16" t="str">
        <x:v>ШТ</x:v>
      </x:c>
      <x:c r="F726" s="21" t="n">
        <x:v>8</x:v>
      </x:c>
      <x:c r="G726" s="17" t="n">
        <x:v>137.6648</x:v>
      </x:c>
      <x:c r="H726" s="17" t="n">
        <x:f>G726*F726</x:f>
        <x:v>1101.3184</x:v>
      </x:c>
      <x:c r="I726" s="22" t="str">
        <x:f>HYPERLINK("https://etp-aktiv.ru/catalog/materialy/truboprovody/2000227077-U411/","Открыть позицию")</x:f>
        <x:v>Открыть позицию</x:v>
      </x:c>
    </x:row>
    <x:row r="727" ht="28" customHeight="1">
      <x:c r="A727" s="16" t="str">
        <x:v>Ново-Кемеровская ТЭЦ</x:v>
      </x:c>
      <x:c r="B727" s="16" t="str">
        <x:v>2000813701-U411</x:v>
      </x:c>
      <x:c r="C727" s="16" t="str">
        <x:v>ОТВОД П 90 СТ20 219*8 ОСТ34 10.699-97</x:v>
      </x:c>
      <x:c r="D727" s="16" t="str">
        <x:v>Детали фасонные</x:v>
      </x:c>
      <x:c r="E727" s="16" t="str">
        <x:v>ШТ</x:v>
      </x:c>
      <x:c r="F727" s="21" t="n">
        <x:v>4</x:v>
      </x:c>
      <x:c r="G727" s="17" t="n">
        <x:v>2741.5718</x:v>
      </x:c>
      <x:c r="H727" s="17" t="n">
        <x:f>G727*F727</x:f>
        <x:v>10966.2872</x:v>
      </x:c>
      <x:c r="I727" s="22" t="str">
        <x:f>HYPERLINK("https://etp-aktiv.ru/catalog/materialy/truboprovody/2000813701-U411/","Открыть позицию")</x:f>
        <x:v>Открыть позицию</x:v>
      </x:c>
    </x:row>
    <x:row r="728" ht="28" customHeight="1">
      <x:c r="A728" s="16" t="str">
        <x:v>Ново-Кемеровская ТЭЦ</x:v>
      </x:c>
      <x:c r="B728" s="16" t="str">
        <x:v>2000554624-U411</x:v>
      </x:c>
      <x:c r="C728" s="16" t="str">
        <x:v>ОТВОД П 90° 09Г2С DN133*6 ГОСТ30753-01</x:v>
      </x:c>
      <x:c r="D728" s="16" t="str">
        <x:v>Детали фасонные</x:v>
      </x:c>
      <x:c r="E728" s="16" t="str">
        <x:v>ШТ</x:v>
      </x:c>
      <x:c r="F728" s="21" t="n">
        <x:v>10</x:v>
      </x:c>
      <x:c r="G728" s="17" t="n">
        <x:v>1628.0656</x:v>
      </x:c>
      <x:c r="H728" s="17" t="n">
        <x:f>G728*F728</x:f>
        <x:v>16280.655999999999</x:v>
      </x:c>
      <x:c r="I728" s="22" t="str">
        <x:f>HYPERLINK("https://etp-aktiv.ru/catalog/materialy/truboprovody/2000554624-U411/","Открыть позицию")</x:f>
        <x:v>Открыть позицию</x:v>
      </x:c>
    </x:row>
    <x:row r="729" ht="28" customHeight="1">
      <x:c r="A729" s="16" t="str">
        <x:v>Ново-Кемеровская ТЭЦ</x:v>
      </x:c>
      <x:c r="B729" s="16" t="str">
        <x:v>2000964731-U411</x:v>
      </x:c>
      <x:c r="C729" s="16" t="str">
        <x:v>ОТВОД П 90° 17Г1С DN530*10 ОСТ34-10.699</x:v>
      </x:c>
      <x:c r="D729" s="16" t="str">
        <x:v>Детали фасонные</x:v>
      </x:c>
      <x:c r="E729" s="16" t="str">
        <x:v>ШТ</x:v>
      </x:c>
      <x:c r="F729" s="21" t="n">
        <x:v>2</x:v>
      </x:c>
      <x:c r="G729" s="17" t="n">
        <x:v>22642.821799999998</x:v>
      </x:c>
      <x:c r="H729" s="17" t="n">
        <x:f>G729*F729</x:f>
        <x:v>45285.643599999996</x:v>
      </x:c>
      <x:c r="I729" s="22" t="str">
        <x:f>HYPERLINK("https://etp-aktiv.ru/catalog/materialy/truboprovody/2000964731-U411/","Открыть позицию")</x:f>
        <x:v>Открыть позицию</x:v>
      </x:c>
    </x:row>
    <x:row r="730" ht="28" customHeight="1">
      <x:c r="A730" s="16" t="str">
        <x:v>Ново-Кемеровская ТЭЦ</x:v>
      </x:c>
      <x:c r="B730" s="16" t="str">
        <x:v>2000554620-U411</x:v>
      </x:c>
      <x:c r="C730" s="16" t="str">
        <x:v>ОТВОД П 90° СТ20 108*5 ГОСТ17375-01</x:v>
      </x:c>
      <x:c r="D730" s="16" t="str">
        <x:v>Детали фасонные</x:v>
      </x:c>
      <x:c r="E730" s="16" t="str">
        <x:v>ШТ</x:v>
      </x:c>
      <x:c r="F730" s="21" t="n">
        <x:v>2</x:v>
      </x:c>
      <x:c r="G730" s="17" t="n">
        <x:v>194.0532</x:v>
      </x:c>
      <x:c r="H730" s="17" t="n">
        <x:f>G730*F730</x:f>
        <x:v>388.1064</x:v>
      </x:c>
      <x:c r="I730" s="22" t="str">
        <x:f>HYPERLINK("https://etp-aktiv.ru/catalog/materialy/truboprovody/2000554620-U411/","Открыть позицию")</x:f>
        <x:v>Открыть позицию</x:v>
      </x:c>
    </x:row>
    <x:row r="731" ht="28" customHeight="1">
      <x:c r="A731" s="16" t="str">
        <x:v>Ново-Кемеровская ТЭЦ</x:v>
      </x:c>
      <x:c r="B731" s="16" t="str">
        <x:v>2000554577-U411</x:v>
      </x:c>
      <x:c r="C731" s="16" t="str">
        <x:v>ОТВОД П 90° СТ20 DN159*6 ОСТ34.10.699-97</x:v>
      </x:c>
      <x:c r="D731" s="16" t="str">
        <x:v>Детали фасонные</x:v>
      </x:c>
      <x:c r="E731" s="16" t="str">
        <x:v>ШТ</x:v>
      </x:c>
      <x:c r="F731" s="21" t="n">
        <x:v>4</x:v>
      </x:c>
      <x:c r="G731" s="17" t="n">
        <x:v>1163.1968</x:v>
      </x:c>
      <x:c r="H731" s="17" t="n">
        <x:f>G731*F731</x:f>
        <x:v>4652.7872</x:v>
      </x:c>
      <x:c r="I731" s="22" t="str">
        <x:f>HYPERLINK("https://etp-aktiv.ru/catalog/materialy/truboprovody/2000554577-U411/","Открыть позицию")</x:f>
        <x:v>Открыть позицию</x:v>
      </x:c>
    </x:row>
    <x:row r="732" ht="28" customHeight="1">
      <x:c r="A732" s="16" t="str">
        <x:v>Ново-Кемеровская ТЭЦ</x:v>
      </x:c>
      <x:c r="B732" s="16" t="str">
        <x:v>2000554582-U411</x:v>
      </x:c>
      <x:c r="C732" s="16" t="str">
        <x:v>ОТВОД П 90° СТ20 DN273*10 ОСТ34.10.699</x:v>
      </x:c>
      <x:c r="D732" s="16" t="str">
        <x:v>Детали фасонные</x:v>
      </x:c>
      <x:c r="E732" s="16" t="str">
        <x:v>ШТ</x:v>
      </x:c>
      <x:c r="F732" s="21" t="n">
        <x:v>4</x:v>
      </x:c>
      <x:c r="G732" s="17" t="n">
        <x:v>3657.7186</x:v>
      </x:c>
      <x:c r="H732" s="17" t="n">
        <x:f>G732*F732</x:f>
        <x:v>14630.8744</x:v>
      </x:c>
      <x:c r="I732" s="22" t="str">
        <x:f>HYPERLINK("https://etp-aktiv.ru/catalog/materialy/truboprovody/2000554582-U411/","Открыть позицию")</x:f>
        <x:v>Открыть позицию</x:v>
      </x:c>
    </x:row>
    <x:row r="733" ht="28" customHeight="1">
      <x:c r="A733" s="16" t="str">
        <x:v>Ново-Кемеровская ТЭЦ</x:v>
      </x:c>
      <x:c r="B733" s="16" t="str">
        <x:v>2000554586-U411</x:v>
      </x:c>
      <x:c r="C733" s="16" t="str">
        <x:v>ОТВОД П 90° СТ20 DN325*10 ОСТ34.10.699</x:v>
      </x:c>
      <x:c r="D733" s="16" t="str">
        <x:v>Детали фасонные</x:v>
      </x:c>
      <x:c r="E733" s="16" t="str">
        <x:v>ШТ</x:v>
      </x:c>
      <x:c r="F733" s="21" t="n">
        <x:v>6</x:v>
      </x:c>
      <x:c r="G733" s="17" t="n">
        <x:v>6860.2186</x:v>
      </x:c>
      <x:c r="H733" s="17" t="n">
        <x:f>G733*F733</x:f>
        <x:v>41161.3116</x:v>
      </x:c>
      <x:c r="I733" s="22" t="str">
        <x:f>HYPERLINK("https://etp-aktiv.ru/catalog/materialy/truboprovody/2000554586-U411/","Открыть позицию")</x:f>
        <x:v>Открыть позицию</x:v>
      </x:c>
    </x:row>
    <x:row r="734" ht="28" customHeight="1">
      <x:c r="A734" s="16" t="str">
        <x:v>Ново-Кемеровская ТЭЦ</x:v>
      </x:c>
      <x:c r="B734" s="16" t="str">
        <x:v>2000964630-U411</x:v>
      </x:c>
      <x:c r="C734" s="16" t="str">
        <x:v>ОТВОД П 90° СТ20 DN426*10 ОСТ34.10.699</x:v>
      </x:c>
      <x:c r="D734" s="16" t="str">
        <x:v>Детали фасонные</x:v>
      </x:c>
      <x:c r="E734" s="16" t="str">
        <x:v>ШТ</x:v>
      </x:c>
      <x:c r="F734" s="21" t="n">
        <x:v>2</x:v>
      </x:c>
      <x:c r="G734" s="17" t="n">
        <x:v>13309.8218</x:v>
      </x:c>
      <x:c r="H734" s="17" t="n">
        <x:f>G734*F734</x:f>
        <x:v>26619.6436</x:v>
      </x:c>
      <x:c r="I734" s="22" t="str">
        <x:f>HYPERLINK("https://etp-aktiv.ru/catalog/materialy/truboprovody/2000964630-U411/","Открыть позицию")</x:f>
        <x:v>Открыть позицию</x:v>
      </x:c>
    </x:row>
    <x:row r="735" ht="28" customHeight="1">
      <x:c r="A735" s="16" t="str">
        <x:v>Ново-Кемеровская ТЭЦ</x:v>
      </x:c>
      <x:c r="B735" s="16" t="str">
        <x:v>2000568216-U411</x:v>
      </x:c>
      <x:c r="C735" s="16" t="str">
        <x:v>ОТВОД П90° 09Г2С 426*10 ГОСТ30753-2001</x:v>
      </x:c>
      <x:c r="D735" s="16" t="str">
        <x:v>Детали фасонные</x:v>
      </x:c>
      <x:c r="E735" s="16" t="str">
        <x:v>ШТ</x:v>
      </x:c>
      <x:c r="F735" s="21" t="n">
        <x:v>1</x:v>
      </x:c>
      <x:c r="G735" s="17" t="n">
        <x:v>13721.5718</x:v>
      </x:c>
      <x:c r="H735" s="17" t="n">
        <x:f>G735*F735</x:f>
        <x:v>13721.5718</x:v>
      </x:c>
      <x:c r="I735" s="22" t="str">
        <x:f>HYPERLINK("https://etp-aktiv.ru/catalog/materialy/truboprovody/2000568216-U411/","Открыть позицию")</x:f>
        <x:v>Открыть позицию</x:v>
      </x:c>
    </x:row>
    <x:row r="736" ht="28" customHeight="1">
      <x:c r="A736" s="16" t="str">
        <x:v>Ново-Кемеровская ТЭЦ</x:v>
      </x:c>
      <x:c r="B736" s="16" t="str">
        <x:v>2000570979-U411</x:v>
      </x:c>
      <x:c r="C736" s="16" t="str">
        <x:v>ОТВОД П90° 530*12-09Г2С ГОСТ30753-2001</x:v>
      </x:c>
      <x:c r="D736" s="16" t="str">
        <x:v>Детали фасонные</x:v>
      </x:c>
      <x:c r="E736" s="16" t="str">
        <x:v>ШТ</x:v>
      </x:c>
      <x:c r="F736" s="21" t="n">
        <x:v>2</x:v>
      </x:c>
      <x:c r="G736" s="17" t="n">
        <x:v>19520</x:v>
      </x:c>
      <x:c r="H736" s="17" t="n">
        <x:f>G736*F736</x:f>
        <x:v>39040</x:v>
      </x:c>
      <x:c r="I736" s="22" t="str">
        <x:f>HYPERLINK("https://etp-aktiv.ru/catalog/materialy/truboprovody/2000570979-U411/","Открыть позицию")</x:f>
        <x:v>Открыть позицию</x:v>
      </x:c>
    </x:row>
    <x:row r="737" ht="28" customHeight="1">
      <x:c r="A737" s="16" t="str">
        <x:v>Ново-Кемеровская ТЭЦ</x:v>
      </x:c>
      <x:c r="B737" s="16" t="str">
        <x:v>2000554925-U411</x:v>
      </x:c>
      <x:c r="C737" s="16" t="str">
        <x:v>ПЕРЕХОД К СТ20 159*8-57*4 ГОСТ17378-01</x:v>
      </x:c>
      <x:c r="D737" s="16" t="str">
        <x:v>Детали фасонные</x:v>
      </x:c>
      <x:c r="E737" s="16" t="str">
        <x:v>ШТ</x:v>
      </x:c>
      <x:c r="F737" s="21" t="n">
        <x:v>1</x:v>
      </x:c>
      <x:c r="G737" s="17" t="n">
        <x:v>222.8818</x:v>
      </x:c>
      <x:c r="H737" s="17" t="n">
        <x:f>G737*F737</x:f>
        <x:v>222.8818</x:v>
      </x:c>
      <x:c r="I737" s="22" t="str">
        <x:f>HYPERLINK("https://etp-aktiv.ru/catalog/materialy/truboprovody/2000554925-U411/","Открыть позицию")</x:f>
        <x:v>Открыть позицию</x:v>
      </x:c>
    </x:row>
    <x:row r="738" ht="28" customHeight="1">
      <x:c r="A738" s="16" t="str">
        <x:v>Ново-Кемеровская ТЭЦ</x:v>
      </x:c>
      <x:c r="B738" s="16" t="str">
        <x:v>2000554935-U411</x:v>
      </x:c>
      <x:c r="C738" s="16" t="str">
        <x:v>ПЕРЕХОД К СТ20 219*6-57*3 ГОСТ17378-01</x:v>
      </x:c>
      <x:c r="D738" s="16" t="str">
        <x:v>Детали фасонные</x:v>
      </x:c>
      <x:c r="E738" s="16" t="str">
        <x:v>ШТ</x:v>
      </x:c>
      <x:c r="F738" s="21" t="n">
        <x:v>1</x:v>
      </x:c>
      <x:c r="G738" s="17" t="n">
        <x:v>159.83219999999997</x:v>
      </x:c>
      <x:c r="H738" s="17" t="n">
        <x:f>G738*F738</x:f>
        <x:v>159.83219999999997</x:v>
      </x:c>
      <x:c r="I738" s="22" t="str">
        <x:f>HYPERLINK("https://etp-aktiv.ru/catalog/materialy/truboprovody/2000554935-U411/","Открыть позицию")</x:f>
        <x:v>Открыть позицию</x:v>
      </x:c>
    </x:row>
    <x:row r="739" ht="28" customHeight="1">
      <x:c r="A739" s="16" t="str">
        <x:v>Ново-Кемеровская ТЭЦ</x:v>
      </x:c>
      <x:c r="B739" s="16" t="str">
        <x:v>2000251315-U411</x:v>
      </x:c>
      <x:c r="C739" s="16" t="str">
        <x:v>ПЕРЕХОД К СТ20 273*10 159 8 ГОСТ17378-01</x:v>
      </x:c>
      <x:c r="D739" s="16" t="str">
        <x:v>Детали фасонные</x:v>
      </x:c>
      <x:c r="E739" s="16" t="str">
        <x:v>ШТ</x:v>
      </x:c>
      <x:c r="F739" s="21" t="n">
        <x:v>1</x:v>
      </x:c>
      <x:c r="G739" s="17" t="n">
        <x:v>586.7956</x:v>
      </x:c>
      <x:c r="H739" s="17" t="n">
        <x:f>G739*F739</x:f>
        <x:v>586.7956</x:v>
      </x:c>
      <x:c r="I739" s="22" t="str">
        <x:f>HYPERLINK("https://etp-aktiv.ru/catalog/materialy/truboprovody/2000251315-U411/","Открыть позицию")</x:f>
        <x:v>Открыть позицию</x:v>
      </x:c>
    </x:row>
    <x:row r="740" ht="28" customHeight="1">
      <x:c r="A740" s="16" t="str">
        <x:v>Ново-Кемеровская ТЭЦ</x:v>
      </x:c>
      <x:c r="B740" s="16" t="str">
        <x:v>2000744592-U411</x:v>
      </x:c>
      <x:c r="C740" s="16" t="str">
        <x:v>РУБА СТ3 1820*14 L12М 1381-001-13152697</x:v>
      </x:c>
      <x:c r="D740" s="16" t="str">
        <x:v>Трубы черные сварные большого диаметра</x:v>
      </x:c>
      <x:c r="E740" s="16" t="str">
        <x:v>ШТ</x:v>
      </x:c>
      <x:c r="F740" s="21" t="n">
        <x:v>1</x:v>
      </x:c>
      <x:c r="G740" s="17" t="n">
        <x:v>396500</x:v>
      </x:c>
      <x:c r="H740" s="17" t="n">
        <x:f>G740*F740</x:f>
        <x:v>396500</x:v>
      </x:c>
      <x:c r="I740" s="22" t="str">
        <x:f>HYPERLINK("https://etp-aktiv.ru/catalog/materialy/truby-stalnye-i-polimernye/2000744592-U411/","Открыть позицию")</x:f>
        <x:v>Открыть позицию</x:v>
      </x:c>
    </x:row>
    <x:row r="741" ht="28" customHeight="1">
      <x:c r="A741" s="16" t="str">
        <x:v>Ново-Кемеровская ТЭЦ</x:v>
      </x:c>
      <x:c r="B741" s="16" t="str">
        <x:v>2000555215-U411</x:v>
      </x:c>
      <x:c r="C741" s="16" t="str">
        <x:v>ТРОЙНИК 09Г2С 325*10-219*8 ГОСТ17376-01</x:v>
      </x:c>
      <x:c r="D741" s="16" t="str">
        <x:v>Детали фасонные</x:v>
      </x:c>
      <x:c r="E741" s="16" t="str">
        <x:v>ШТ</x:v>
      </x:c>
      <x:c r="F741" s="21" t="n">
        <x:v>1</x:v>
      </x:c>
      <x:c r="G741" s="17" t="n">
        <x:v>1861.0002</x:v>
      </x:c>
      <x:c r="H741" s="17" t="n">
        <x:f>G741*F741</x:f>
        <x:v>1861.0002</x:v>
      </x:c>
      <x:c r="I741" s="22" t="str">
        <x:f>HYPERLINK("https://etp-aktiv.ru/catalog/materialy/truboprovody/2000555215-U411/","Открыть позицию")</x:f>
        <x:v>Открыть позицию</x:v>
      </x:c>
    </x:row>
    <x:row r="742" ht="28" customHeight="1">
      <x:c r="A742" s="16" t="str">
        <x:v>Ново-Кемеровская ТЭЦ</x:v>
      </x:c>
      <x:c r="B742" s="16" t="str">
        <x:v>2000559055-U411</x:v>
      </x:c>
      <x:c r="C742" s="16" t="str">
        <x:v>ТРОЙНИК 25*20*20 СТ20 PУ250 14114</x:v>
      </x:c>
      <x:c r="D742" s="16" t="str">
        <x:v>Трубопроводы и элементы трубопроводов высокого давления</x:v>
      </x:c>
      <x:c r="E742" s="16" t="str">
        <x:v>ШТ</x:v>
      </x:c>
      <x:c r="F742" s="21" t="n">
        <x:v>3</x:v>
      </x:c>
      <x:c r="G742" s="17" t="n">
        <x:v>2740.4249999999997</x:v>
      </x:c>
      <x:c r="H742" s="17" t="n">
        <x:f>G742*F742</x:f>
        <x:v>8221.275</x:v>
      </x:c>
      <x:c r="I742" s="22" t="str">
        <x:f>HYPERLINK("https://etp-aktiv.ru/catalog/materialy/truboprovody/2000559055-U411/","Открыть позицию")</x:f>
        <x:v>Открыть позицию</x:v>
      </x:c>
    </x:row>
    <x:row r="743" ht="28" customHeight="1">
      <x:c r="A743" s="16" t="str">
        <x:v>Ново-Кемеровская ТЭЦ</x:v>
      </x:c>
      <x:c r="B743" s="16" t="str">
        <x:v>2000560642-U411</x:v>
      </x:c>
      <x:c r="C743" s="16" t="str">
        <x:v>ТРУБА 12Х18Н10Т 14*2 ГОСТ9941-81</x:v>
      </x:c>
      <x:c r="D743" s="16" t="str">
        <x:v>Трубы нержавеющ(сварные и бесшовн) кроме котельн выс.давл</x:v>
      </x:c>
      <x:c r="E743" s="16" t="str">
        <x:v>Т</x:v>
      </x:c>
      <x:c r="F743" s="21" t="n">
        <x:v>0</x:v>
      </x:c>
      <x:c r="G743" s="17" t="n">
        <x:v>253524.0764</x:v>
      </x:c>
      <x:c r="H743" s="17" t="n">
        <x:f>G743*F743</x:f>
        <x:v>0</x:v>
      </x:c>
      <x:c r="I743" s="22" t="str">
        <x:f>HYPERLINK("https://etp-aktiv.ru/catalog/materialy/truby-stalnye-i-polimernye/2000560642-U411/","Открыть позицию")</x:f>
        <x:v>Открыть позицию</x:v>
      </x:c>
    </x:row>
    <x:row r="744" ht="28" customHeight="1">
      <x:c r="A744" s="16" t="str">
        <x:v>Ново-Кемеровская ТЭЦ</x:v>
      </x:c>
      <x:c r="B744" s="16" t="str">
        <x:v>2000243169-U411</x:v>
      </x:c>
      <x:c r="C744" s="16" t="str">
        <x:v>ТРУБА 12Х18Н10Т 18*3 ГОСТ9940-81</x:v>
      </x:c>
      <x:c r="D744" s="16" t="str">
        <x:v>Трубы нержавеющ(сварные и бесшовн) кроме котельн выс.давл</x:v>
      </x:c>
      <x:c r="E744" s="16" t="str">
        <x:v>Т</x:v>
      </x:c>
      <x:c r="F744" s="30" t="n">
        <x:v>0.025</x:v>
      </x:c>
      <x:c r="G744" s="17" t="n">
        <x:v>271099.12799999997</x:v>
      </x:c>
      <x:c r="H744" s="17" t="n">
        <x:f>G744*F744</x:f>
        <x:v>6777.4782</x:v>
      </x:c>
      <x:c r="I744" s="22" t="str">
        <x:f>HYPERLINK("https://etp-aktiv.ru/catalog/materialy/truby-stalnye-i-polimernye/2000243169-U411/","Открыть позицию")</x:f>
        <x:v>Открыть позицию</x:v>
      </x:c>
    </x:row>
    <x:row r="745" ht="28" customHeight="1">
      <x:c r="A745" s="16" t="str">
        <x:v>Ново-Кемеровская ТЭЦ</x:v>
      </x:c>
      <x:c r="B745" s="16" t="str">
        <x:v>2000560683-U411</x:v>
      </x:c>
      <x:c r="C745" s="16" t="str">
        <x:v>ТРУБА 12Х18Н10Т 38*3 ГОСТ9940-81</x:v>
      </x:c>
      <x:c r="D745" s="16" t="str">
        <x:v>Трубы нержавеющ(сварные и бесшовн) кроме котельн выс.давл</x:v>
      </x:c>
      <x:c r="E745" s="16" t="str">
        <x:v>Т</x:v>
      </x:c>
      <x:c r="F745" s="30" t="n">
        <x:v>0.012</x:v>
      </x:c>
      <x:c r="G745" s="17" t="n">
        <x:v>127944.8404</x:v>
      </x:c>
      <x:c r="H745" s="17" t="n">
        <x:f>G745*F745</x:f>
        <x:v>1535.3380848</x:v>
      </x:c>
      <x:c r="I745" s="22" t="str">
        <x:f>HYPERLINK("https://etp-aktiv.ru/catalog/materialy/truby-stalnye-i-polimernye/2000560683-U411/","Открыть позицию")</x:f>
        <x:v>Открыть позицию</x:v>
      </x:c>
    </x:row>
    <x:row r="746" ht="28" customHeight="1">
      <x:c r="A746" s="16" t="str">
        <x:v>Ново-Кемеровская ТЭЦ</x:v>
      </x:c>
      <x:c r="B746" s="16" t="str">
        <x:v>2000583854-U411</x:v>
      </x:c>
      <x:c r="C746" s="16" t="str">
        <x:v>ТРУБА 12Х18Н10Т 57*6 ГОСТ9941-81</x:v>
      </x:c>
      <x:c r="D746" s="16" t="str">
        <x:v>Трубы нержавеющ(сварные и бесшовн) кроме котельн выс.давл</x:v>
      </x:c>
      <x:c r="E746" s="16" t="str">
        <x:v>Т</x:v>
      </x:c>
      <x:c r="F746" s="30" t="n">
        <x:v>0.113</x:v>
      </x:c>
      <x:c r="G746" s="17" t="n">
        <x:v>492378.0798</x:v>
      </x:c>
      <x:c r="H746" s="17" t="n">
        <x:f>G746*F746</x:f>
        <x:v>55638.7230174</x:v>
      </x:c>
      <x:c r="I746" s="22" t="str">
        <x:f>HYPERLINK("https://etp-aktiv.ru/catalog/materialy/truby-stalnye-i-polimernye/2000583854-U411/","Открыть позицию")</x:f>
        <x:v>Открыть позицию</x:v>
      </x:c>
    </x:row>
    <x:row r="747" ht="28" customHeight="1">
      <x:c r="A747" s="16" t="str">
        <x:v>Ново-Кемеровская ТЭЦ</x:v>
      </x:c>
      <x:c r="B747" s="16" t="str">
        <x:v>2000545960-U411</x:v>
      </x:c>
      <x:c r="C747" s="16" t="str">
        <x:v>ТРУБА 12Х1МФ 133*17 ТУ14-3Р-55-01</x:v>
      </x:c>
      <x:c r="D747" s="16" t="str">
        <x:v>Трубы котельные высокого давления</x:v>
      </x:c>
      <x:c r="E747" s="16" t="str">
        <x:v>Т</x:v>
      </x:c>
      <x:c r="F747" s="30" t="n">
        <x:v>0.1</x:v>
      </x:c>
      <x:c r="G747" s="17" t="n">
        <x:v>202986.0888</x:v>
      </x:c>
      <x:c r="H747" s="17" t="n">
        <x:f>G747*F747</x:f>
        <x:v>20298.60888</x:v>
      </x:c>
      <x:c r="I747" s="22" t="str">
        <x:f>HYPERLINK("https://etp-aktiv.ru/catalog/materialy/truby-stalnye-i-polimernye/2000545960-U411/","Открыть позицию")</x:f>
        <x:v>Открыть позицию</x:v>
      </x:c>
    </x:row>
    <x:row r="748" ht="28" customHeight="1">
      <x:c r="A748" s="16" t="str">
        <x:v>Ново-Кемеровская ТЭЦ</x:v>
      </x:c>
      <x:c r="B748" s="16" t="str">
        <x:v>2000546072-U411</x:v>
      </x:c>
      <x:c r="C748" s="16" t="str">
        <x:v>ТРУБА 12Х1МФ 325*38 ТУ14-3Р-55-01</x:v>
      </x:c>
      <x:c r="D748" s="16" t="str">
        <x:v>Трубы котельные высокого давления</x:v>
      </x:c>
      <x:c r="E748" s="16" t="str">
        <x:v>Т</x:v>
      </x:c>
      <x:c r="F748" s="21" t="n">
        <x:v>1</x:v>
      </x:c>
      <x:c r="G748" s="17" t="n">
        <x:v>706583.3374000001</x:v>
      </x:c>
      <x:c r="H748" s="17" t="n">
        <x:f>G748*F748</x:f>
        <x:v>706583.3374000001</x:v>
      </x:c>
      <x:c r="I748" s="22" t="str">
        <x:f>HYPERLINK("https://etp-aktiv.ru/catalog/materialy/truby-stalnye-i-polimernye/2000546072-U411/","Открыть позицию")</x:f>
        <x:v>Открыть позицию</x:v>
      </x:c>
    </x:row>
    <x:row r="749" ht="28" customHeight="1">
      <x:c r="A749" s="16" t="str">
        <x:v>Ново-Кемеровская ТЭЦ</x:v>
      </x:c>
      <x:c r="B749" s="16" t="str">
        <x:v>2000145296-U411</x:v>
      </x:c>
      <x:c r="C749" s="16" t="str">
        <x:v>ТРУБА Б/Ш СТ20 Г/Д 219*10 ГОСТ8732-78</x:v>
      </x:c>
      <x:c r="D749" s="16" t="str">
        <x:v>Трубы черные бесшовные</x:v>
      </x:c>
      <x:c r="E749" s="16" t="str">
        <x:v>Т</x:v>
      </x:c>
      <x:c r="F749" s="30" t="n">
        <x:v>0.146</x:v>
      </x:c>
      <x:c r="G749" s="17" t="n">
        <x:v>56724.4978</x:v>
      </x:c>
      <x:c r="H749" s="17" t="n">
        <x:f>G749*F749</x:f>
        <x:v>8281.776678799999</x:v>
      </x:c>
      <x:c r="I749" s="22" t="str">
        <x:f>HYPERLINK("https://etp-aktiv.ru/catalog/materialy/truby-stalnye-i-polimernye/2000145296-U411/","Открыть позицию")</x:f>
        <x:v>Открыть позицию</x:v>
      </x:c>
    </x:row>
    <x:row r="750" ht="28" customHeight="1">
      <x:c r="A750" s="16" t="str">
        <x:v>Ново-Кемеровская ТЭЦ</x:v>
      </x:c>
      <x:c r="B750" s="16" t="str">
        <x:v>2000140832-U411</x:v>
      </x:c>
      <x:c r="C750" s="16" t="str">
        <x:v>ТРУБА Б/Ш СТ20 Г/Д 219*7 ГОСТ8732-78</x:v>
      </x:c>
      <x:c r="D750" s="16" t="str">
        <x:v>Трубы черные бесшовные</x:v>
      </x:c>
      <x:c r="E750" s="16" t="str">
        <x:v>Т</x:v>
      </x:c>
      <x:c r="F750" s="30" t="n">
        <x:v>0.38</x:v>
      </x:c>
      <x:c r="G750" s="17" t="n">
        <x:v>31969.9292</x:v>
      </x:c>
      <x:c r="H750" s="17" t="n">
        <x:f>G750*F750</x:f>
        <x:v>12148.573096</x:v>
      </x:c>
      <x:c r="I750" s="22" t="str">
        <x:f>HYPERLINK("https://etp-aktiv.ru/catalog/materialy/truby-stalnye-i-polimernye/2000140832-U411/","Открыть позицию")</x:f>
        <x:v>Открыть позицию</x:v>
      </x:c>
    </x:row>
    <x:row r="751" ht="28" customHeight="1">
      <x:c r="A751" s="16" t="str">
        <x:v>Ново-Кемеровская ТЭЦ</x:v>
      </x:c>
      <x:c r="B751" s="16" t="str">
        <x:v>2000145235-U411</x:v>
      </x:c>
      <x:c r="C751" s="16" t="str">
        <x:v>ТРУБА Б/Ш СТ20 Г/Д 273*8 ГОСТ8732-78</x:v>
      </x:c>
      <x:c r="D751" s="16" t="str">
        <x:v>Трубы черные бесшовные</x:v>
      </x:c>
      <x:c r="E751" s="16" t="str">
        <x:v>Т</x:v>
      </x:c>
      <x:c r="F751" s="30" t="n">
        <x:v>0.69</x:v>
      </x:c>
      <x:c r="G751" s="17" t="n">
        <x:v>84180</x:v>
      </x:c>
      <x:c r="H751" s="17" t="n">
        <x:f>G751*F751</x:f>
        <x:v>58084.2</x:v>
      </x:c>
      <x:c r="I751" s="22" t="str">
        <x:f>HYPERLINK("https://etp-aktiv.ru/catalog/materialy/truby-stalnye-i-polimernye/2000145235-U411/","Открыть позицию")</x:f>
        <x:v>Открыть позицию</x:v>
      </x:c>
    </x:row>
    <x:row r="752" ht="28" customHeight="1">
      <x:c r="A752" s="16" t="str">
        <x:v>Ново-Кемеровская ТЭЦ</x:v>
      </x:c>
      <x:c r="B752" s="16" t="str">
        <x:v>2000546228-U411</x:v>
      </x:c>
      <x:c r="C752" s="16" t="str">
        <x:v>ТРУБА КВД 12Х18Н12Т 25*3,5 ТУ14-3-190-04</x:v>
      </x:c>
      <x:c r="D752" s="16" t="str">
        <x:v>Трубы котельные высокого давления</x:v>
      </x:c>
      <x:c r="E752" s="16" t="str">
        <x:v>Т</x:v>
      </x:c>
      <x:c r="F752" s="30" t="n">
        <x:v>0.014</x:v>
      </x:c>
      <x:c r="G752" s="17" t="n">
        <x:v>225284.4436</x:v>
      </x:c>
      <x:c r="H752" s="17" t="n">
        <x:f>G752*F752</x:f>
        <x:v>3153.9822104</x:v>
      </x:c>
      <x:c r="I752" s="22" t="str">
        <x:f>HYPERLINK("https://etp-aktiv.ru/catalog/materialy/truby-stalnye-i-polimernye/2000546228-U411/","Открыть позицию")</x:f>
        <x:v>Открыть позицию</x:v>
      </x:c>
    </x:row>
    <x:row r="753" ht="28" customHeight="1">
      <x:c r="A753" s="16" t="str">
        <x:v>Ново-Кемеровская ТЭЦ</x:v>
      </x:c>
      <x:c r="B753" s="16" t="str">
        <x:v>2000546165-U411</x:v>
      </x:c>
      <x:c r="C753" s="16" t="str">
        <x:v>ТРУБА КВД 12Х1МФ 16*4 ТУ14-3Р-55-01</x:v>
      </x:c>
      <x:c r="D753" s="16" t="str">
        <x:v>Трубы котельные высокого давления</x:v>
      </x:c>
      <x:c r="E753" s="16" t="str">
        <x:v>КГ</x:v>
      </x:c>
      <x:c r="F753" s="29" t="n">
        <x:v>389.6</x:v>
      </x:c>
      <x:c r="G753" s="17" t="n">
        <x:v>175.1188</x:v>
      </x:c>
      <x:c r="H753" s="17" t="n">
        <x:f>G753*F753</x:f>
        <x:v>68226.28448</x:v>
      </x:c>
      <x:c r="I753" s="22" t="str">
        <x:f>HYPERLINK("https://etp-aktiv.ru/catalog/materialy/truby-stalnye-i-polimernye/2000546165-U411/","Открыть позицию")</x:f>
        <x:v>Открыть позицию</x:v>
      </x:c>
    </x:row>
    <x:row r="754" ht="28" customHeight="1">
      <x:c r="A754" s="16" t="str">
        <x:v>Ново-Кемеровская ТЭЦ</x:v>
      </x:c>
      <x:c r="B754" s="16" t="str">
        <x:v>2000546190-U411</x:v>
      </x:c>
      <x:c r="C754" s="16" t="str">
        <x:v>ТРУБА КВД 12Х1МФ 219*25 ТУ14-3Р-55-01</x:v>
      </x:c>
      <x:c r="D754" s="16" t="str">
        <x:v>Трубы котельные высокого давления</x:v>
      </x:c>
      <x:c r="E754" s="16" t="str">
        <x:v>Т</x:v>
      </x:c>
      <x:c r="F754" s="29" t="n">
        <x:v>1.82</x:v>
      </x:c>
      <x:c r="G754" s="17" t="n">
        <x:v>407527.9582</x:v>
      </x:c>
      <x:c r="H754" s="17" t="n">
        <x:f>G754*F754</x:f>
        <x:v>741700.883924</x:v>
      </x:c>
      <x:c r="I754" s="22" t="str">
        <x:f>HYPERLINK("https://etp-aktiv.ru/catalog/materialy/truby-stalnye-i-polimernye/2000546190-U411/","Открыть позицию")</x:f>
        <x:v>Открыть позицию</x:v>
      </x:c>
    </x:row>
    <x:row r="755" ht="28" customHeight="1">
      <x:c r="A755" s="16" t="str">
        <x:v>Ново-Кемеровская ТЭЦ</x:v>
      </x:c>
      <x:c r="B755" s="16" t="str">
        <x:v>2000546230-U411</x:v>
      </x:c>
      <x:c r="C755" s="16" t="str">
        <x:v>ТРУБА КВД 12Х1МФ 273*32 ТУ14-3Р-55-01</x:v>
      </x:c>
      <x:c r="D755" s="16" t="str">
        <x:v>Трубы котельные высокого давления</x:v>
      </x:c>
      <x:c r="E755" s="16" t="str">
        <x:v>Т</x:v>
      </x:c>
      <x:c r="F755" s="29" t="n">
        <x:v>2.02</x:v>
      </x:c>
      <x:c r="G755" s="17" t="n">
        <x:v>406971.66260000004</x:v>
      </x:c>
      <x:c r="H755" s="17" t="n">
        <x:f>G755*F755</x:f>
        <x:v>822082.7584520001</x:v>
      </x:c>
      <x:c r="I755" s="22" t="str">
        <x:f>HYPERLINK("https://etp-aktiv.ru/catalog/materialy/truby-stalnye-i-polimernye/2000546230-U411/","Открыть позицию")</x:f>
        <x:v>Открыть позицию</x:v>
      </x:c>
    </x:row>
    <x:row r="756" ht="28" customHeight="1">
      <x:c r="A756" s="16" t="str">
        <x:v>Ново-Кемеровская ТЭЦ</x:v>
      </x:c>
      <x:c r="B756" s="16" t="str">
        <x:v>2000546172-U411</x:v>
      </x:c>
      <x:c r="C756" s="16" t="str">
        <x:v>ТРУБА КВД 15ГС 325*24 ТУ14-3Р-55-01</x:v>
      </x:c>
      <x:c r="D756" s="16" t="str">
        <x:v>Трубы котельные высокого давления</x:v>
      </x:c>
      <x:c r="E756" s="16" t="str">
        <x:v>Т</x:v>
      </x:c>
      <x:c r="F756" s="29" t="n">
        <x:v>1.9</x:v>
      </x:c>
      <x:c r="G756" s="17" t="n">
        <x:v>368592.5</x:v>
      </x:c>
      <x:c r="H756" s="17" t="n">
        <x:f>G756*F756</x:f>
        <x:v>700325.75</x:v>
      </x:c>
      <x:c r="I756" s="22" t="str">
        <x:f>HYPERLINK("https://etp-aktiv.ru/catalog/materialy/truby-stalnye-i-polimernye/2000546172-U411/","Открыть позицию")</x:f>
        <x:v>Открыть позицию</x:v>
      </x:c>
    </x:row>
    <x:row r="757" ht="28" customHeight="1">
      <x:c r="A757" s="16" t="str">
        <x:v>Ново-Кемеровская ТЭЦ</x:v>
      </x:c>
      <x:c r="B757" s="16" t="str">
        <x:v>2000972940-U411</x:v>
      </x:c>
      <x:c r="C757" s="16" t="str">
        <x:v>ТРУБА КВД 15ГС 377*28 ТУ14-3Р-55-01</x:v>
      </x:c>
      <x:c r="D757" s="16" t="str">
        <x:v>Трубы котельные высокого давления</x:v>
      </x:c>
      <x:c r="E757" s="16" t="str">
        <x:v>Т</x:v>
      </x:c>
      <x:c r="F757" s="29" t="n">
        <x:v>2.28</x:v>
      </x:c>
      <x:c r="G757" s="17" t="n">
        <x:v>368592.5</x:v>
      </x:c>
      <x:c r="H757" s="17" t="n">
        <x:f>G757*F757</x:f>
        <x:v>840390.8999999999</x:v>
      </x:c>
      <x:c r="I757" s="22" t="str">
        <x:f>HYPERLINK("https://etp-aktiv.ru/catalog/materialy/truby-stalnye-i-polimernye/2000972940-U411/","Открыть позицию")</x:f>
        <x:v>Открыть позицию</x:v>
      </x:c>
    </x:row>
    <x:row r="758" ht="28" customHeight="1">
      <x:c r="A758" s="16" t="str">
        <x:v>Ново-Кемеровская ТЭЦ</x:v>
      </x:c>
      <x:c r="B758" s="16" t="str">
        <x:v>2000546187-U411</x:v>
      </x:c>
      <x:c r="C758" s="16" t="str">
        <x:v>ТРУБА КВД 15Х1М1Ф 377*45 ТУ14-3Р-55-01</x:v>
      </x:c>
      <x:c r="D758" s="16" t="str">
        <x:v>Трубы котельные высокого давления</x:v>
      </x:c>
      <x:c r="E758" s="16" t="str">
        <x:v>Т</x:v>
      </x:c>
      <x:c r="F758" s="29" t="n">
        <x:v>1.4</x:v>
      </x:c>
      <x:c r="G758" s="17" t="n">
        <x:v>454888.3948</x:v>
      </x:c>
      <x:c r="H758" s="17" t="n">
        <x:f>G758*F758</x:f>
        <x:v>636843.75272</x:v>
      </x:c>
      <x:c r="I758" s="22" t="str">
        <x:f>HYPERLINK("https://etp-aktiv.ru/catalog/materialy/truby-stalnye-i-polimernye/2000546187-U411/","Открыть позицию")</x:f>
        <x:v>Открыть позицию</x:v>
      </x:c>
    </x:row>
    <x:row r="759" ht="28" customHeight="1">
      <x:c r="A759" s="16" t="str">
        <x:v>Ново-Кемеровская ТЭЦ</x:v>
      </x:c>
      <x:c r="B759" s="16" t="str">
        <x:v>2000546092-U411</x:v>
      </x:c>
      <x:c r="C759" s="16" t="str">
        <x:v>ТРУБА КВД СТ20 16*2,5 ТУ14-3Р-55-01</x:v>
      </x:c>
      <x:c r="D759" s="16" t="str">
        <x:v>Трубы котельные высокого давления</x:v>
      </x:c>
      <x:c r="E759" s="16" t="str">
        <x:v>КГ</x:v>
      </x:c>
      <x:c r="F759" s="21" t="n">
        <x:v>245</x:v>
      </x:c>
      <x:c r="G759" s="17" t="n">
        <x:v>133.5046</x:v>
      </x:c>
      <x:c r="H759" s="17" t="n">
        <x:f>G759*F759</x:f>
        <x:v>32708.627000000004</x:v>
      </x:c>
      <x:c r="I759" s="22" t="str">
        <x:f>HYPERLINK("https://etp-aktiv.ru/catalog/materialy/truby-stalnye-i-polimernye/2000546092-U411/","Открыть позицию")</x:f>
        <x:v>Открыть позицию</x:v>
      </x:c>
    </x:row>
    <x:row r="760" ht="28" customHeight="1">
      <x:c r="A760" s="16" t="str">
        <x:v>Ново-Кемеровская ТЭЦ</x:v>
      </x:c>
      <x:c r="B760" s="16" t="str">
        <x:v>2000546168-U411</x:v>
      </x:c>
      <x:c r="C760" s="16" t="str">
        <x:v>ТРУБА КВД СТ20 16*3 ТУ14-3Р-55-01</x:v>
      </x:c>
      <x:c r="D760" s="16" t="str">
        <x:v>Трубы котельные высокого давления</x:v>
      </x:c>
      <x:c r="E760" s="16" t="str">
        <x:v>КГ</x:v>
      </x:c>
      <x:c r="F760" s="29" t="n">
        <x:v>23.998</x:v>
      </x:c>
      <x:c r="G760" s="17" t="n">
        <x:v>211.7066</x:v>
      </x:c>
      <x:c r="H760" s="17" t="n">
        <x:f>G760*F760</x:f>
        <x:v>5080.5349868</x:v>
      </x:c>
      <x:c r="I760" s="22" t="str">
        <x:f>HYPERLINK("https://etp-aktiv.ru/catalog/materialy/truby-stalnye-i-polimernye/2000546168-U411/","Открыть позицию")</x:f>
        <x:v>Открыть позицию</x:v>
      </x:c>
    </x:row>
    <x:row r="761" ht="28" customHeight="1">
      <x:c r="A761" s="16" t="str">
        <x:v>Ново-Кемеровская ТЭЦ</x:v>
      </x:c>
      <x:c r="B761" s="16" t="str">
        <x:v>2000259587-U411</x:v>
      </x:c>
      <x:c r="C761" s="16" t="str">
        <x:v>ТРУБА СТ10 219*6 ГОСТ10705-80</x:v>
      </x:c>
      <x:c r="D761" s="16" t="str">
        <x:v>Трубы черные сварные малого и среднего диаметра</x:v>
      </x:c>
      <x:c r="E761" s="16" t="str">
        <x:v>Т</x:v>
      </x:c>
      <x:c r="F761" s="30" t="n">
        <x:v>0.316</x:v>
      </x:c>
      <x:c r="G761" s="17" t="n">
        <x:v>30332.25</x:v>
      </x:c>
      <x:c r="H761" s="17" t="n">
        <x:f>G761*F761</x:f>
        <x:v>9584.991</x:v>
      </x:c>
      <x:c r="I761" s="22" t="str">
        <x:f>HYPERLINK("https://etp-aktiv.ru/catalog/materialy/truby-stalnye-i-polimernye/2000259587-U411/","Открыть позицию")</x:f>
        <x:v>Открыть позицию</x:v>
      </x:c>
    </x:row>
    <x:row r="762" ht="28" customHeight="1">
      <x:c r="A762" s="16" t="str">
        <x:v>Ново-Кемеровская ТЭЦ</x:v>
      </x:c>
      <x:c r="B762" s="16" t="str">
        <x:v>2000560137-U411</x:v>
      </x:c>
      <x:c r="C762" s="16" t="str">
        <x:v>ТРУБА СТ20 133*16 ГОСТ8731-74</x:v>
      </x:c>
      <x:c r="D762" s="16" t="str">
        <x:v>Трубы черные бесшовные</x:v>
      </x:c>
      <x:c r="E762" s="16" t="str">
        <x:v>Т</x:v>
      </x:c>
      <x:c r="F762" s="30" t="n">
        <x:v>0.28</x:v>
      </x:c>
      <x:c r="G762" s="17" t="n">
        <x:v>90757.5324</x:v>
      </x:c>
      <x:c r="H762" s="17" t="n">
        <x:f>G762*F762</x:f>
        <x:v>25412.109072000003</x:v>
      </x:c>
      <x:c r="I762" s="22" t="str">
        <x:f>HYPERLINK("https://etp-aktiv.ru/catalog/materialy/truby-stalnye-i-polimernye/2000560137-U411/","Открыть позицию")</x:f>
        <x:v>Открыть позицию</x:v>
      </x:c>
    </x:row>
    <x:row r="763" ht="28" customHeight="1">
      <x:c r="A763" s="16" t="str">
        <x:v>Ново-Кемеровская ТЭЦ</x:v>
      </x:c>
      <x:c r="B763" s="16" t="str">
        <x:v>2000649613-U411</x:v>
      </x:c>
      <x:c r="C763" s="16" t="str">
        <x:v>ТРУБА СТ20 194*10 ТУ14-3Р-55-2001</x:v>
      </x:c>
      <x:c r="D763" s="16" t="str">
        <x:v>Трубы котельные высокого давления</x:v>
      </x:c>
      <x:c r="E763" s="16" t="str">
        <x:v>Т</x:v>
      </x:c>
      <x:c r="F763" s="30" t="n">
        <x:v>0.324</x:v>
      </x:c>
      <x:c r="G763" s="17" t="n">
        <x:v>94731.2432</x:v>
      </x:c>
      <x:c r="H763" s="17" t="n">
        <x:f>G763*F763</x:f>
        <x:v>30692.9227968</x:v>
      </x:c>
      <x:c r="I763" s="22" t="str">
        <x:f>HYPERLINK("https://etp-aktiv.ru/catalog/materialy/truby-stalnye-i-polimernye/2000649613-U411/","Открыть позицию")</x:f>
        <x:v>Открыть позицию</x:v>
      </x:c>
    </x:row>
    <x:row r="764" ht="28" customHeight="1">
      <x:c r="A764" s="16" t="str">
        <x:v>Ново-Кемеровская ТЭЦ</x:v>
      </x:c>
      <x:c r="B764" s="16" t="str">
        <x:v>2000596108-U411</x:v>
      </x:c>
      <x:c r="C764" s="16" t="str">
        <x:v>ТРУБА СТ20 219*8 ТУ14-3-190-82</x:v>
      </x:c>
      <x:c r="D764" s="16" t="str">
        <x:v>Трубы котельные высокого давления</x:v>
      </x:c>
      <x:c r="E764" s="16" t="str">
        <x:v>Т</x:v>
      </x:c>
      <x:c r="F764" s="30" t="n">
        <x:v>0.198</x:v>
      </x:c>
      <x:c r="G764" s="17" t="n">
        <x:v>40153.371999999996</x:v>
      </x:c>
      <x:c r="H764" s="17" t="n">
        <x:f>G764*F764</x:f>
        <x:v>7950.367655999999</x:v>
      </x:c>
      <x:c r="I764" s="22" t="str">
        <x:f>HYPERLINK("https://etp-aktiv.ru/catalog/materialy/truby-stalnye-i-polimernye/2000596108-U411/","Открыть позицию")</x:f>
        <x:v>Открыть позицию</x:v>
      </x:c>
    </x:row>
    <x:row r="765" ht="28" customHeight="1">
      <x:c r="A765" s="16" t="str">
        <x:v>Ново-Кемеровская ТЭЦ</x:v>
      </x:c>
      <x:c r="B765" s="16" t="str">
        <x:v>2000898201-U411</x:v>
      </x:c>
      <x:c r="C765" s="16" t="str">
        <x:v>ТРУБА СТ20 273*8 ТУ14-3Р-55-01</x:v>
      </x:c>
      <x:c r="D765" s="16" t="str">
        <x:v>Трубы котельные высокого давления</x:v>
      </x:c>
      <x:c r="E765" s="16" t="str">
        <x:v>Т</x:v>
      </x:c>
      <x:c r="F765" s="30" t="n">
        <x:v>0.32</x:v>
      </x:c>
      <x:c r="G765" s="17" t="n">
        <x:v>106750</x:v>
      </x:c>
      <x:c r="H765" s="17" t="n">
        <x:f>G765*F765</x:f>
        <x:v>34160</x:v>
      </x:c>
      <x:c r="I765" s="22" t="str">
        <x:f>HYPERLINK("https://etp-aktiv.ru/catalog/materialy/truby-stalnye-i-polimernye/2000898201-U411/","Открыть позицию")</x:f>
        <x:v>Открыть позицию</x:v>
      </x:c>
    </x:row>
    <x:row r="766" ht="28" customHeight="1">
      <x:c r="A766" s="16" t="str">
        <x:v>Ново-Кемеровская ТЭЦ</x:v>
      </x:c>
      <x:c r="B766" s="16" t="str">
        <x:v>2000546135-U411</x:v>
      </x:c>
      <x:c r="C766" s="16" t="str">
        <x:v>ТРУБА СТ20 Г 245*45 ТУ14-3Р-55-01</x:v>
      </x:c>
      <x:c r="D766" s="16" t="str">
        <x:v>Трубы котельные высокого давления</x:v>
      </x:c>
      <x:c r="E766" s="16" t="str">
        <x:v>Т</x:v>
      </x:c>
      <x:c r="F766" s="30" t="n">
        <x:v>0.948</x:v>
      </x:c>
      <x:c r="G766" s="17" t="n">
        <x:v>173410.89759999997</x:v>
      </x:c>
      <x:c r="H766" s="17" t="n">
        <x:f>G766*F766</x:f>
        <x:v>164393.53092479997</x:v>
      </x:c>
      <x:c r="I766" s="22" t="str">
        <x:f>HYPERLINK("https://etp-aktiv.ru/catalog/materialy/truby-stalnye-i-polimernye/2000546135-U411/","Открыть позицию")</x:f>
        <x:v>Открыть позицию</x:v>
      </x:c>
    </x:row>
    <x:row r="767" ht="28" customHeight="1">
      <x:c r="A767" s="16" t="str">
        <x:v>Ново-Кемеровская ТЭЦ</x:v>
      </x:c>
      <x:c r="B767" s="16" t="str">
        <x:v>2000262937-U411</x:v>
      </x:c>
      <x:c r="C767" s="16" t="str">
        <x:v>ТРУБА СТ3 108*4 ГОСТ10705-80</x:v>
      </x:c>
      <x:c r="D767" s="16" t="str">
        <x:v>Трубы черные сварные малого и среднего диаметра</x:v>
      </x:c>
      <x:c r="E767" s="16" t="str">
        <x:v>Т</x:v>
      </x:c>
      <x:c r="F767" s="30" t="n">
        <x:v>0.06</x:v>
      </x:c>
      <x:c r="G767" s="17" t="n">
        <x:v>49753.125</x:v>
      </x:c>
      <x:c r="H767" s="17" t="n">
        <x:f>G767*F767</x:f>
        <x:v>2985.1875</x:v>
      </x:c>
      <x:c r="I767" s="22" t="str">
        <x:f>HYPERLINK("https://etp-aktiv.ru/catalog/materialy/truby-stalnye-i-polimernye/2000262937-U411/","Открыть позицию")</x:f>
        <x:v>Открыть позицию</x:v>
      </x:c>
    </x:row>
    <x:row r="768" ht="28" customHeight="1">
      <x:c r="A768" s="16" t="str">
        <x:v>Ново-Кемеровская ТЭЦ</x:v>
      </x:c>
      <x:c r="B768" s="16" t="str">
        <x:v>2000560552-U411</x:v>
      </x:c>
      <x:c r="C768" s="16" t="str">
        <x:v>ТРУБА СТ3СП5 89*4,5 ГОСТ10705-80</x:v>
      </x:c>
      <x:c r="D768" s="16" t="str">
        <x:v>Трубы черные сварные малого и среднего диаметра</x:v>
      </x:c>
      <x:c r="E768" s="16" t="str">
        <x:v>Т</x:v>
      </x:c>
      <x:c r="F768" s="29" t="n">
        <x:v>3.579</x:v>
      </x:c>
      <x:c r="G768" s="17" t="n">
        <x:v>28784.375</x:v>
      </x:c>
      <x:c r="H768" s="17" t="n">
        <x:f>G768*F768</x:f>
        <x:v>103019.27812500001</x:v>
      </x:c>
      <x:c r="I768" s="22" t="str">
        <x:f>HYPERLINK("https://etp-aktiv.ru/catalog/materialy/truby-stalnye-i-polimernye/2000560552-U411/","Открыть позицию")</x:f>
        <x:v>Открыть позицию</x:v>
      </x:c>
    </x:row>
    <x:row r="769" ht="28" customHeight="1">
      <x:c r="A769" s="16" t="str">
        <x:v>Ново-Кемеровская ТЭЦ</x:v>
      </x:c>
      <x:c r="B769" s="16" t="str">
        <x:v>2000570116-U411</x:v>
      </x:c>
      <x:c r="C769" s="16" t="str">
        <x:v>ТРУБА ТИП 3-Т 17Г1С 820*11 К52 ГОСТ20295</x:v>
      </x:c>
      <x:c r="D769" s="16" t="str">
        <x:v>Трубы черные сварные большого диаметра</x:v>
      </x:c>
      <x:c r="E769" s="16" t="str">
        <x:v>Т</x:v>
      </x:c>
      <x:c r="F769" s="30" t="n">
        <x:v>0.618</x:v>
      </x:c>
      <x:c r="G769" s="17" t="n">
        <x:v>86925</x:v>
      </x:c>
      <x:c r="H769" s="17" t="n">
        <x:f>G769*F769</x:f>
        <x:v>53719.65</x:v>
      </x:c>
      <x:c r="I769" s="22" t="str">
        <x:f>HYPERLINK("https://etp-aktiv.ru/catalog/materialy/truby-stalnye-i-polimernye/2000570116-U411/","Открыть позицию")</x:f>
        <x:v>Открыть позицию</x:v>
      </x:c>
    </x:row>
    <x:row r="770" ht="28" customHeight="1">
      <x:c r="A770" s="16" t="str">
        <x:v>Ново-Кемеровская ТЭЦ</x:v>
      </x:c>
      <x:c r="B770" s="16" t="str">
        <x:v>2000560623-U411</x:v>
      </x:c>
      <x:c r="C770" s="16" t="str">
        <x:v>ТРУБА ТИП 3-Т 17Г1С-У 530*9 ГОСТ20295</x:v>
      </x:c>
      <x:c r="D770" s="16" t="str">
        <x:v>Трубы черные сварные большого диаметра</x:v>
      </x:c>
      <x:c r="E770" s="16" t="str">
        <x:v>Т</x:v>
      </x:c>
      <x:c r="F770" s="29" t="n">
        <x:v>1.548</x:v>
      </x:c>
      <x:c r="G770" s="17" t="n">
        <x:v>99125</x:v>
      </x:c>
      <x:c r="H770" s="17" t="n">
        <x:f>G770*F770</x:f>
        <x:v>153445.5</x:v>
      </x:c>
      <x:c r="I770" s="22" t="str">
        <x:f>HYPERLINK("https://etp-aktiv.ru/catalog/materialy/truby-stalnye-i-polimernye/2000560623-U411/","Открыть позицию")</x:f>
        <x:v>Открыть позицию</x:v>
      </x:c>
    </x:row>
    <x:row r="771" ht="28" customHeight="1">
      <x:c r="A771" s="16" t="str">
        <x:v>Ново-Кемеровская ТЭЦ</x:v>
      </x:c>
      <x:c r="B771" s="16" t="str">
        <x:v>2000556951-U411</x:v>
      </x:c>
      <x:c r="C771" s="16" t="str">
        <x:v>ТРУБКА КВАРЦЕВАЯ 18*2*2000 ОСТ2142</x:v>
      </x:c>
      <x:c r="D771" s="16" t="str">
        <x:v>Химическая посуда</x:v>
      </x:c>
      <x:c r="E771" s="16" t="str">
        <x:v>ШТ</x:v>
      </x:c>
      <x:c r="F771" s="21" t="n">
        <x:v>3</x:v>
      </x:c>
      <x:c r="G771" s="17" t="n">
        <x:v>559.5286</x:v>
      </x:c>
      <x:c r="H771" s="17" t="n">
        <x:f>G771*F771</x:f>
        <x:v>1678.5857999999998</x:v>
      </x:c>
      <x:c r="I771" s="22" t="str">
        <x:f>HYPERLINK("https://etp-aktiv.ru/catalog/materialy/mebel-i-bytovaya-tekhnika/2000556951-U411/","Открыть позицию")</x:f>
        <x:v>Открыть позицию</x:v>
      </x:c>
    </x:row>
    <x:row r="772" ht="28" customHeight="1">
      <x:c r="A772" s="16" t="str">
        <x:v>Ново-Кемеровская ТЭЦ</x:v>
      </x:c>
      <x:c r="B772" s="16" t="str">
        <x:v>2000556299-U411</x:v>
      </x:c>
      <x:c r="C772" s="16" t="str">
        <x:v>ТРУБКА Л68 19*1*4550 ГОСТ21646-2003</x:v>
      </x:c>
      <x:c r="D772" s="16" t="str">
        <x:v>Металлопрокат цветной</x:v>
      </x:c>
      <x:c r="E772" s="16" t="str">
        <x:v>КГ</x:v>
      </x:c>
      <x:c r="F772" s="21" t="n">
        <x:v>3</x:v>
      </x:c>
      <x:c r="G772" s="17" t="n">
        <x:v>960.75</x:v>
      </x:c>
      <x:c r="H772" s="17" t="n">
        <x:f>G772*F772</x:f>
        <x:v>2882.25</x:v>
      </x:c>
      <x:c r="I772" s="22" t="str">
        <x:f>HYPERLINK("https://etp-aktiv.ru/catalog/materialy/metalloprodukciya/2000556299-U411/","Открыть позицию")</x:f>
        <x:v>Открыть позицию</x:v>
      </x:c>
    </x:row>
    <x:row r="773" ht="28" customHeight="1">
      <x:c r="A773" s="16" t="str">
        <x:v>Ново-Кемеровская ТЭЦ</x:v>
      </x:c>
      <x:c r="B773" s="16" t="str">
        <x:v>2000548669-U411</x:v>
      </x:c>
      <x:c r="C773" s="16" t="str">
        <x:v>ТРУБКА ПВХ 305 ТВ-40 12ММ БЕЛ ГОСТ19034</x:v>
      </x:c>
      <x:c r="D773" s="16" t="str">
        <x:v>Электроизоляционные материалы</x:v>
      </x:c>
      <x:c r="E773" s="16" t="str">
        <x:v>КГ</x:v>
      </x:c>
      <x:c r="F773" s="21" t="n">
        <x:v>8</x:v>
      </x:c>
      <x:c r="G773" s="17" t="n">
        <x:v>155.001</x:v>
      </x:c>
      <x:c r="H773" s="17" t="n">
        <x:f>G773*F773</x:f>
        <x:v>1240.008</x:v>
      </x:c>
      <x:c r="I773" s="22" t="str">
        <x:f>HYPERLINK("https://etp-aktiv.ru/catalog/materialy/ehlektroizolyacionnye-materialy/2000548669-U411/","Открыть позицию")</x:f>
        <x:v>Открыть позицию</x:v>
      </x:c>
    </x:row>
    <x:row r="774" ht="28" customHeight="1">
      <x:c r="A774" s="16" t="str">
        <x:v>Ново-Кемеровская ТЭЦ</x:v>
      </x:c>
      <x:c r="B774" s="16" t="str">
        <x:v>2000548680-U411</x:v>
      </x:c>
      <x:c r="C774" s="16" t="str">
        <x:v>ТРУБКА ПВХ ТВ-40 20ММ</x:v>
      </x:c>
      <x:c r="D774" s="16" t="str">
        <x:v>Электроизоляционные материалы</x:v>
      </x:c>
      <x:c r="E774" s="16" t="str">
        <x:v>КГ</x:v>
      </x:c>
      <x:c r="F774" s="29" t="n">
        <x:v>4.6</x:v>
      </x:c>
      <x:c r="G774" s="17" t="n">
        <x:v>121.32900000000001</x:v>
      </x:c>
      <x:c r="H774" s="17" t="n">
        <x:f>G774*F774</x:f>
        <x:v>558.1134</x:v>
      </x:c>
      <x:c r="I774" s="22" t="str">
        <x:f>HYPERLINK("https://etp-aktiv.ru/catalog/materialy/ehlektroizolyacionnye-materialy/2000548680-U411/","Открыть позицию")</x:f>
        <x:v>Открыть позицию</x:v>
      </x:c>
    </x:row>
    <x:row r="775" ht="28" customHeight="1">
      <x:c r="A775" s="16" t="str">
        <x:v>Ново-Кемеровская ТЭЦ</x:v>
      </x:c>
      <x:c r="B775" s="16" t="str">
        <x:v>2000043226-U411</x:v>
      </x:c>
      <x:c r="C775" s="16" t="str">
        <x:v>ТРУБКА ПВХ ТВ-40 D10ММ</x:v>
      </x:c>
      <x:c r="D775" s="16" t="str">
        <x:v>Электроизоляционные материалы</x:v>
      </x:c>
      <x:c r="E775" s="16" t="str">
        <x:v>КГ</x:v>
      </x:c>
      <x:c r="F775" s="29" t="n">
        <x:v>14.4</x:v>
      </x:c>
      <x:c r="G775" s="17" t="n">
        <x:v>107.48199999999999</x:v>
      </x:c>
      <x:c r="H775" s="17" t="n">
        <x:f>G775*F775</x:f>
        <x:v>1547.7407999999998</x:v>
      </x:c>
      <x:c r="I775" s="22" t="str">
        <x:f>HYPERLINK("https://etp-aktiv.ru/catalog/materialy/ehlektroizolyacionnye-materialy/2000043226-U411/","Открыть позицию")</x:f>
        <x:v>Открыть позицию</x:v>
      </x:c>
    </x:row>
    <x:row r="776" ht="28" customHeight="1">
      <x:c r="A776" s="16" t="str">
        <x:v>Ново-Кемеровская ТЭЦ</x:v>
      </x:c>
      <x:c r="B776" s="16" t="str">
        <x:v>2000043229-U411</x:v>
      </x:c>
      <x:c r="C776" s="16" t="str">
        <x:v>ТРУБКА ПВХ ТВ-40 D16ММ</x:v>
      </x:c>
      <x:c r="D776" s="16" t="str">
        <x:v>Электроизоляционные материалы</x:v>
      </x:c>
      <x:c r="E776" s="16" t="str">
        <x:v>КГ</x:v>
      </x:c>
      <x:c r="F776" s="21" t="n">
        <x:v>7</x:v>
      </x:c>
      <x:c r="G776" s="17" t="n">
        <x:v>45.8476</x:v>
      </x:c>
      <x:c r="H776" s="17" t="n">
        <x:f>G776*F776</x:f>
        <x:v>320.9332</x:v>
      </x:c>
      <x:c r="I776" s="22" t="str">
        <x:f>HYPERLINK("https://etp-aktiv.ru/catalog/materialy/ehlektroizolyacionnye-materialy/2000043229-U411/","Открыть позицию")</x:f>
        <x:v>Открыть позицию</x:v>
      </x:c>
    </x:row>
    <x:row r="777" ht="28" customHeight="1">
      <x:c r="A777" s="16" t="str">
        <x:v>Ново-Кемеровская ТЭЦ</x:v>
      </x:c>
      <x:c r="B777" s="16" t="str">
        <x:v>2000043230-U411</x:v>
      </x:c>
      <x:c r="C777" s="16" t="str">
        <x:v>ТРУБКА ПВХ ТВ-40 D18ММ</x:v>
      </x:c>
      <x:c r="D777" s="16" t="str">
        <x:v>Электроизоляционные материалы</x:v>
      </x:c>
      <x:c r="E777" s="16" t="str">
        <x:v>КГ</x:v>
      </x:c>
      <x:c r="F777" s="21" t="n">
        <x:v>7</x:v>
      </x:c>
      <x:c r="G777" s="17" t="n">
        <x:v>155.001</x:v>
      </x:c>
      <x:c r="H777" s="17" t="n">
        <x:f>G777*F777</x:f>
        <x:v>1085.007</x:v>
      </x:c>
      <x:c r="I777" s="22" t="str">
        <x:f>HYPERLINK("https://etp-aktiv.ru/catalog/materialy/ehlektroizolyacionnye-materialy/2000043230-U411/","Открыть позицию")</x:f>
        <x:v>Открыть позицию</x:v>
      </x:c>
    </x:row>
    <x:row r="778" ht="28" customHeight="1">
      <x:c r="A778" s="16" t="str">
        <x:v>Ново-Кемеровская ТЭЦ</x:v>
      </x:c>
      <x:c r="B778" s="16" t="str">
        <x:v>2000043235-U411</x:v>
      </x:c>
      <x:c r="C778" s="16" t="str">
        <x:v>ТРУБКА ПВХ ТВ-40 D8ММ</x:v>
      </x:c>
      <x:c r="D778" s="16" t="str">
        <x:v>Электроизоляционные материалы</x:v>
      </x:c>
      <x:c r="E778" s="16" t="str">
        <x:v>КГ</x:v>
      </x:c>
      <x:c r="F778" s="21" t="n">
        <x:v>11</x:v>
      </x:c>
      <x:c r="G778" s="17" t="n">
        <x:v>155.001</x:v>
      </x:c>
      <x:c r="H778" s="17" t="n">
        <x:f>G778*F778</x:f>
        <x:v>1705.011</x:v>
      </x:c>
      <x:c r="I778" s="22" t="str">
        <x:f>HYPERLINK("https://etp-aktiv.ru/catalog/materialy/ehlektroizolyacionnye-materialy/2000043235-U411/","Открыть позицию")</x:f>
        <x:v>Открыть позицию</x:v>
      </x:c>
    </x:row>
    <x:row r="779" ht="28" customHeight="1">
      <x:c r="A779" s="16" t="str">
        <x:v>Ново-Кемеровская ТЭЦ</x:v>
      </x:c>
      <x:c r="B779" s="16" t="str">
        <x:v>2000539875-U411</x:v>
      </x:c>
      <x:c r="C779" s="16" t="str">
        <x:v>УСТР-ВО ЗАП 12С13БК 20/40 Р/П ЦАП B СТ20</x:v>
      </x:c>
      <x:c r="D779" s="16" t="str">
        <x:v>Арматура из медных сплавов</x:v>
      </x:c>
      <x:c r="E779" s="16" t="str">
        <x:v>ШТ</x:v>
      </x:c>
      <x:c r="F779" s="21" t="n">
        <x:v>2</x:v>
      </x:c>
      <x:c r="G779" s="17" t="n">
        <x:v>13153.125</x:v>
      </x:c>
      <x:c r="H779" s="17" t="n">
        <x:f>G779*F779</x:f>
        <x:v>26306.25</x:v>
      </x:c>
      <x:c r="I779" s="22" t="str">
        <x:f>HYPERLINK("https://etp-aktiv.ru/catalog/materialy/truboprovodnaya-armatura-i-komplektuyushchie/2000539875-U411/","Открыть позицию")</x:f>
        <x:v>Открыть позицию</x:v>
      </x:c>
    </x:row>
    <x:row r="780" ht="28" customHeight="1">
      <x:c r="A780" s="16" t="str">
        <x:v>Ново-Кемеровская ТЭЦ</x:v>
      </x:c>
      <x:c r="B780" s="16" t="str">
        <x:v>2000592846-U411</x:v>
      </x:c>
      <x:c r="C780" s="16" t="str">
        <x:v>ФЛАНЕЦ ВОРОТНИКОВ СТ20 DN250 PN25 ИСП.11</x:v>
      </x:c>
      <x:c r="D780" s="16" t="str">
        <x:v>Детали фасонные</x:v>
      </x:c>
      <x:c r="E780" s="16" t="str">
        <x:v>ШТ</x:v>
      </x:c>
      <x:c r="F780" s="21" t="n">
        <x:v>1</x:v>
      </x:c>
      <x:c r="G780" s="17" t="n">
        <x:v>3949.9939999999997</x:v>
      </x:c>
      <x:c r="H780" s="17" t="n">
        <x:f>G780*F780</x:f>
        <x:v>3949.9939999999997</x:v>
      </x:c>
      <x:c r="I780" s="22" t="str">
        <x:f>HYPERLINK("https://etp-aktiv.ru/catalog/materialy/truboprovody/2000592846-U411/","Открыть позицию")</x:f>
        <x:v>Открыть позицию</x:v>
      </x:c>
    </x:row>
    <x:row r="781" ht="28" customHeight="1">
      <x:c r="A781" s="16" t="str">
        <x:v>Ново-Кемеровская ТЭЦ</x:v>
      </x:c>
      <x:c r="B781" s="16" t="str">
        <x:v>2000171251-U411</x:v>
      </x:c>
      <x:c r="C781" s="16" t="str">
        <x:v>ФЛАНЕЦ СТ20 DN100 PN16 ИСП1 ГОСТ12820-80</x:v>
      </x:c>
      <x:c r="D781" s="16" t="str">
        <x:v>Детали фасонные</x:v>
      </x:c>
      <x:c r="E781" s="16" t="str">
        <x:v>ШТ</x:v>
      </x:c>
      <x:c r="F781" s="21" t="n">
        <x:v>2</x:v>
      </x:c>
      <x:c r="G781" s="17" t="n">
        <x:v>285.0286</x:v>
      </x:c>
      <x:c r="H781" s="17" t="n">
        <x:f>G781*F781</x:f>
        <x:v>570.0572</x:v>
      </x:c>
      <x:c r="I781" s="22" t="str">
        <x:f>HYPERLINK("https://etp-aktiv.ru/catalog/materialy/truboprovody/2000171251-U411/","Открыть позицию")</x:f>
        <x:v>Открыть позицию</x:v>
      </x:c>
    </x:row>
    <x:row r="782" ht="28" customHeight="1">
      <x:c r="A782" s="16" t="str">
        <x:v>Ново-Кемеровская ТЭЦ</x:v>
      </x:c>
      <x:c r="B782" s="16" t="str">
        <x:v>2000305801-U411</x:v>
      </x:c>
      <x:c r="C782" s="16" t="str">
        <x:v>ФЛАНЕЦ СТ20 DN150 PN40 ИСП2 ГОСТ12281-80</x:v>
      </x:c>
      <x:c r="D782" s="16" t="str">
        <x:v>Детали фасонные</x:v>
      </x:c>
      <x:c r="E782" s="16" t="str">
        <x:v>ШТ</x:v>
      </x:c>
      <x:c r="F782" s="21" t="n">
        <x:v>2</x:v>
      </x:c>
      <x:c r="G782" s="17" t="n">
        <x:v>2450.004</x:v>
      </x:c>
      <x:c r="H782" s="17" t="n">
        <x:f>G782*F782</x:f>
        <x:v>4900.008</x:v>
      </x:c>
      <x:c r="I782" s="22" t="str">
        <x:f>HYPERLINK("https://etp-aktiv.ru/catalog/materialy/truboprovody/2000305801-U411/","Открыть позицию")</x:f>
        <x:v>Открыть позицию</x:v>
      </x:c>
    </x:row>
    <x:row r="783" ht="28" customHeight="1">
      <x:c r="A783" s="16" t="str">
        <x:v>Ново-Кемеровская ТЭЦ</x:v>
      </x:c>
      <x:c r="B783" s="16" t="str">
        <x:v>2000009573-U411</x:v>
      </x:c>
      <x:c r="C783" s="16" t="str">
        <x:v>ФЛАНЕЦ СТ20 DN200 PN16 ИСП1 ГОСТ12820-80</x:v>
      </x:c>
      <x:c r="D783" s="16" t="str">
        <x:v>Детали фасонные</x:v>
      </x:c>
      <x:c r="E783" s="16" t="str">
        <x:v>ШТ</x:v>
      </x:c>
      <x:c r="F783" s="21" t="n">
        <x:v>4</x:v>
      </x:c>
      <x:c r="G783" s="17" t="n">
        <x:v>639.7192</x:v>
      </x:c>
      <x:c r="H783" s="17" t="n">
        <x:f>G783*F783</x:f>
        <x:v>2558.8768</x:v>
      </x:c>
      <x:c r="I783" s="22" t="str">
        <x:f>HYPERLINK("https://etp-aktiv.ru/catalog/materialy/truboprovody/2000009573-U411/","Открыть позицию")</x:f>
        <x:v>Открыть позицию</x:v>
      </x:c>
    </x:row>
    <x:row r="784" ht="28" customHeight="1">
      <x:c r="A784" s="16" t="str">
        <x:v>Ново-Кемеровская ТЭЦ</x:v>
      </x:c>
      <x:c r="B784" s="16" t="str">
        <x:v>2000160956-U411</x:v>
      </x:c>
      <x:c r="C784" s="16" t="str">
        <x:v>ФЛАНЕЦ СТ20 DN200 PN25 ИСП1 ГОСТ12820-80</x:v>
      </x:c>
      <x:c r="D784" s="16" t="str">
        <x:v>Детали фасонные</x:v>
      </x:c>
      <x:c r="E784" s="16" t="str">
        <x:v>ШТ</x:v>
      </x:c>
      <x:c r="F784" s="21" t="n">
        <x:v>2</x:v>
      </x:c>
      <x:c r="G784" s="17" t="n">
        <x:v>1450.0066</x:v>
      </x:c>
      <x:c r="H784" s="17" t="n">
        <x:f>G784*F784</x:f>
        <x:v>2900.0132</x:v>
      </x:c>
      <x:c r="I784" s="22" t="str">
        <x:f>HYPERLINK("https://etp-aktiv.ru/catalog/materialy/truboprovody/2000160956-U411/","Открыть позицию")</x:f>
        <x:v>Открыть позицию</x:v>
      </x:c>
    </x:row>
    <x:row r="785" ht="28" customHeight="1">
      <x:c r="A785" s="16" t="str">
        <x:v>Ново-Кемеровская ТЭЦ</x:v>
      </x:c>
      <x:c r="B785" s="16" t="str">
        <x:v>2000225802-U411</x:v>
      </x:c>
      <x:c r="C785" s="16" t="str">
        <x:v>ФЛАНЕЦ СТ20 DN250 PN16 ИСП1 ГОСТ12820-80</x:v>
      </x:c>
      <x:c r="D785" s="16" t="str">
        <x:v>Детали фасонные</x:v>
      </x:c>
      <x:c r="E785" s="16" t="str">
        <x:v>ШТ</x:v>
      </x:c>
      <x:c r="F785" s="21" t="n">
        <x:v>2</x:v>
      </x:c>
      <x:c r="G785" s="17" t="n">
        <x:v>379.52979999999997</x:v>
      </x:c>
      <x:c r="H785" s="17" t="n">
        <x:f>G785*F785</x:f>
        <x:v>759.0595999999999</x:v>
      </x:c>
      <x:c r="I785" s="22" t="str">
        <x:f>HYPERLINK("https://etp-aktiv.ru/catalog/materialy/truboprovody/2000225802-U411/","Открыть позицию")</x:f>
        <x:v>Открыть позицию</x:v>
      </x:c>
    </x:row>
    <x:row r="786" ht="28" customHeight="1">
      <x:c r="A786" s="16" t="str">
        <x:v>Ново-Кемеровская ТЭЦ</x:v>
      </x:c>
      <x:c r="B786" s="16" t="str">
        <x:v>2000554738-U411</x:v>
      </x:c>
      <x:c r="C786" s="16" t="str">
        <x:v>ФЛАНЕЦ СТ20 DN300 PN16 ИСП.1 ГОСТ12820</x:v>
      </x:c>
      <x:c r="D786" s="16" t="str">
        <x:v>Детали фасонные</x:v>
      </x:c>
      <x:c r="E786" s="16" t="str">
        <x:v>ШТ</x:v>
      </x:c>
      <x:c r="F786" s="21" t="n">
        <x:v>3</x:v>
      </x:c>
      <x:c r="G786" s="17" t="n">
        <x:v>1132.3186</x:v>
      </x:c>
      <x:c r="H786" s="17" t="n">
        <x:f>G786*F786</x:f>
        <x:v>3396.9558</x:v>
      </x:c>
      <x:c r="I786" s="22" t="str">
        <x:f>HYPERLINK("https://etp-aktiv.ru/catalog/materialy/truboprovody/2000554738-U411/","Открыть позицию")</x:f>
        <x:v>Открыть позицию</x:v>
      </x:c>
    </x:row>
    <x:row r="787" ht="28" customHeight="1">
      <x:c r="A787" s="16" t="str">
        <x:v>Ново-Кемеровская ТЭЦ</x:v>
      </x:c>
      <x:c r="B787" s="16" t="str">
        <x:v>2000005927-U411</x:v>
      </x:c>
      <x:c r="C787" s="16" t="str">
        <x:v>ФЛАНЕЦ СТ20 DN50 PN16 ИСП1 ГОСТ12820-80</x:v>
      </x:c>
      <x:c r="D787" s="16" t="str">
        <x:v>Детали фасонные</x:v>
      </x:c>
      <x:c r="E787" s="16" t="str">
        <x:v>ШТ</x:v>
      </x:c>
      <x:c r="F787" s="21" t="n">
        <x:v>1</x:v>
      </x:c>
      <x:c r="G787" s="17" t="n">
        <x:v>243.8536</x:v>
      </x:c>
      <x:c r="H787" s="17" t="n">
        <x:f>G787*F787</x:f>
        <x:v>243.8536</x:v>
      </x:c>
      <x:c r="I787" s="22" t="str">
        <x:f>HYPERLINK("https://etp-aktiv.ru/catalog/materialy/truboprovody/2000005927-U411/","Открыть позицию")</x:f>
        <x:v>Открыть позицию</x:v>
      </x:c>
    </x:row>
    <x:row r="788" ht="28" customHeight="1">
      <x:c r="A788" s="16" t="str">
        <x:v>Ново-Кемеровская ТЭЦ</x:v>
      </x:c>
      <x:c r="B788" s="16" t="str">
        <x:v>2000140292-U411</x:v>
      </x:c>
      <x:c r="C788" s="16" t="str">
        <x:v>ФЛАНЕЦ СТ20 DN65 PN16 ИСП1 ГОСТ12820-80</x:v>
      </x:c>
      <x:c r="D788" s="16" t="str">
        <x:v>Детали фасонные</x:v>
      </x:c>
      <x:c r="E788" s="16" t="str">
        <x:v>ШТ</x:v>
      </x:c>
      <x:c r="F788" s="21" t="n">
        <x:v>4</x:v>
      </x:c>
      <x:c r="G788" s="17" t="n">
        <x:v>234.3376</x:v>
      </x:c>
      <x:c r="H788" s="17" t="n">
        <x:f>G788*F788</x:f>
        <x:v>937.3504</x:v>
      </x:c>
      <x:c r="I788" s="22" t="str">
        <x:f>HYPERLINK("https://etp-aktiv.ru/catalog/materialy/truboprovody/2000140292-U411/","Открыть позицию")</x:f>
        <x:v>Открыть позицию</x:v>
      </x:c>
    </x:row>
    <x:row r="789" ht="28" customHeight="1">
      <x:c r="A789" s="16" t="str">
        <x:v>Ново-Кемеровская ТЭЦ</x:v>
      </x:c>
      <x:c r="B789" s="16" t="str">
        <x:v>2000554778-U411</x:v>
      </x:c>
      <x:c r="C789" s="16" t="str">
        <x:v>ФЛАНЕЦ СТ20 DN65 PN6,3 ИСП.1 ГОСТ12821</x:v>
      </x:c>
      <x:c r="D789" s="16" t="str">
        <x:v>Детали фасонные</x:v>
      </x:c>
      <x:c r="E789" s="16" t="str">
        <x:v>ШТ</x:v>
      </x:c>
      <x:c r="F789" s="21" t="n">
        <x:v>2</x:v>
      </x:c>
      <x:c r="G789" s="17" t="n">
        <x:v>254.9922</x:v>
      </x:c>
      <x:c r="H789" s="17" t="n">
        <x:f>G789*F789</x:f>
        <x:v>509.9844</x:v>
      </x:c>
      <x:c r="I789" s="22" t="str">
        <x:f>HYPERLINK("https://etp-aktiv.ru/catalog/materialy/truboprovody/2000554778-U411/","Открыть позицию")</x:f>
        <x:v>Открыть позицию</x:v>
      </x:c>
    </x:row>
    <x:row r="790" ht="28" customHeight="1">
      <x:c r="A790" s="16" t="str">
        <x:v>Ново-Кемеровская ТЭЦ</x:v>
      </x:c>
      <x:c r="B790" s="16" t="str">
        <x:v>2000259220-U411</x:v>
      </x:c>
      <x:c r="C790" s="16" t="str">
        <x:v>ФЛАНЕЦ СТ3 DN200 PN16 ГОСТ12820-80</x:v>
      </x:c>
      <x:c r="D790" s="16" t="str">
        <x:v>Детали фасонные</x:v>
      </x:c>
      <x:c r="E790" s="16" t="str">
        <x:v>ШТ</x:v>
      </x:c>
      <x:c r="F790" s="21" t="n">
        <x:v>4</x:v>
      </x:c>
      <x:c r="G790" s="17" t="n">
        <x:v>1330.9468</x:v>
      </x:c>
      <x:c r="H790" s="17" t="n">
        <x:f>G790*F790</x:f>
        <x:v>5323.7872</x:v>
      </x:c>
      <x:c r="I790" s="22" t="str">
        <x:f>HYPERLINK("https://etp-aktiv.ru/catalog/materialy/truboprovody/2000259220-U411/","Открыть позицию")</x:f>
        <x:v>Открыть позицию</x:v>
      </x:c>
    </x:row>
    <x:row r="791" ht="28" customHeight="1">
      <x:c r="A791" s="16" t="str">
        <x:v>Ново-Кемеровская ТЭЦ</x:v>
      </x:c>
      <x:c r="B791" s="16" t="str">
        <x:v>2000559056-U411</x:v>
      </x:c>
      <x:c r="C791" s="16" t="str">
        <x:v>ЧЕТВЕРНИК ПЕРЕХ 25*20*20*20 СТ20 14113</x:v>
      </x:c>
      <x:c r="D791" s="16" t="str">
        <x:v>Трубопроводы и элементы трубопроводов высокого давления</x:v>
      </x:c>
      <x:c r="E791" s="16" t="str">
        <x:v>ШТ</x:v>
      </x:c>
      <x:c r="F791" s="21" t="n">
        <x:v>1</x:v>
      </x:c>
      <x:c r="G791" s="17" t="n">
        <x:v>4229.13</x:v>
      </x:c>
      <x:c r="H791" s="17" t="n">
        <x:f>G791*F791</x:f>
        <x:v>4229.13</x:v>
      </x:c>
      <x:c r="I791" s="22" t="str">
        <x:f>HYPERLINK("https://etp-aktiv.ru/catalog/materialy/truboprovody/2000559056-U411/","Открыть позицию")</x:f>
        <x:v>Открыть позицию</x:v>
      </x:c>
    </x:row>
    <x:row r="792" ht="28" customHeight="1">
      <x:c r="A792" s="16" t="str">
        <x:v>Теплоэнергетик</x:v>
      </x:c>
      <x:c r="B792" s="16" t="str">
        <x:v>2000540180-U911</x:v>
      </x:c>
      <x:c r="C792" s="16" t="str">
        <x:v>КРАН СТ20 ПП ВОДА 200° ПП 80/16 РП A</x:v>
      </x:c>
      <x:c r="D792" s="16" t="str">
        <x:v>Краны шаровые стальные</x:v>
      </x:c>
      <x:c r="E792" s="16" t="str">
        <x:v>ШТ</x:v>
      </x:c>
      <x:c r="F792" s="21" t="n">
        <x:v>4</x:v>
      </x:c>
      <x:c r="G792" s="17" t="n">
        <x:v>2671.3363999999997</x:v>
      </x:c>
      <x:c r="H792" s="17" t="n">
        <x:f>G792*F792</x:f>
        <x:v>10685.345599999999</x:v>
      </x:c>
      <x:c r="I792" s="22" t="str">
        <x:f>HYPERLINK("https://etp-aktiv.ru/catalog/materialy/truboprovodnaya-armatura-i-komplektuyushchie/2000540180-U911/","Открыть позицию")</x:f>
        <x:v>Открыть позицию</x:v>
      </x:c>
    </x:row>
    <x:row r="793" ht="28" customHeight="1">
      <x:c r="A793" s="16" t="str">
        <x:v>Теплоэнергетик</x:v>
      </x:c>
      <x:c r="B793" s="16" t="str">
        <x:v>2000568149-U911</x:v>
      </x:c>
      <x:c r="C793" s="16" t="str">
        <x:v>ОТВОД 30 17Г1С 530*8-1,6 ТС583.000-119</x:v>
      </x:c>
      <x:c r="D793" s="16" t="str">
        <x:v>Детали фасонные</x:v>
      </x:c>
      <x:c r="E793" s="16" t="str">
        <x:v>ШТ</x:v>
      </x:c>
      <x:c r="F793" s="21" t="n">
        <x:v>2</x:v>
      </x:c>
      <x:c r="G793" s="17" t="n">
        <x:v>12739.545</x:v>
      </x:c>
      <x:c r="H793" s="17" t="n">
        <x:f>G793*F793</x:f>
        <x:v>25479.09</x:v>
      </x:c>
      <x:c r="I793" s="22" t="str">
        <x:f>HYPERLINK("https://etp-aktiv.ru/catalog/materialy/truboprovody/2000568149-U911/","Открыть позицию")</x:f>
        <x:v>Открыть позицию</x:v>
      </x:c>
    </x:row>
    <x:row r="794" ht="28" customHeight="1">
      <x:c r="A794" s="16" t="str">
        <x:v>Томь-Усинская ГРЭС</x:v>
      </x:c>
      <x:c r="B794" s="16" t="str">
        <x:v>2000126194-U111</x:v>
      </x:c>
      <x:c r="C794" s="16" t="str">
        <x:v>АРМАТУРА А-I СТ3 D16ММ ГОСТ5781-82</x:v>
      </x:c>
      <x:c r="D794" s="16" t="str">
        <x:v>Металлопрокат черный</x:v>
      </x:c>
      <x:c r="E794" s="16" t="str">
        <x:v>Т</x:v>
      </x:c>
      <x:c r="F794" s="29" t="n">
        <x:v>1.424</x:v>
      </x:c>
      <x:c r="G794" s="17" t="n">
        <x:v>71226.8574</x:v>
      </x:c>
      <x:c r="H794" s="17" t="n">
        <x:f>G794*F794</x:f>
        <x:v>101427.04493759999</x:v>
      </x:c>
      <x:c r="I794" s="22" t="str">
        <x:f>HYPERLINK("https://etp-aktiv.ru/catalog/materialy/metalloprodukciya/2000126194-U111/","Открыть позицию")</x:f>
        <x:v>Открыть позицию</x:v>
      </x:c>
    </x:row>
    <x:row r="795" ht="28" customHeight="1">
      <x:c r="A795" s="16" t="str">
        <x:v>Томь-Усинская ГРЭС</x:v>
      </x:c>
      <x:c r="B795" s="16" t="str">
        <x:v>2000004908-U111</x:v>
      </x:c>
      <x:c r="C795" s="16" t="str">
        <x:v>ВЕНТИЛЬ 15КЧ18П DN32 PN16</x:v>
      </x:c>
      <x:c r="D795" s="16" t="str">
        <x:v>Чугунная арматура (кроме затворов)</x:v>
      </x:c>
      <x:c r="E795" s="16" t="str">
        <x:v>ШТ</x:v>
      </x:c>
      <x:c r="F795" s="21" t="n">
        <x:v>23</x:v>
      </x:c>
      <x:c r="G795" s="17" t="n">
        <x:v>550.0004</x:v>
      </x:c>
      <x:c r="H795" s="17" t="n">
        <x:f>G795*F795</x:f>
        <x:v>12650.0092</x:v>
      </x:c>
      <x:c r="I795" s="22" t="str">
        <x:f>HYPERLINK("https://etp-aktiv.ru/catalog/materialy/truboprovodnaya-armatura-i-komplektuyushchie/2000004908-U111/","Открыть позицию")</x:f>
        <x:v>Открыть позицию</x:v>
      </x:c>
    </x:row>
    <x:row r="796" ht="28" customHeight="1">
      <x:c r="A796" s="16" t="str">
        <x:v>Томь-Усинская ГРЭС</x:v>
      </x:c>
      <x:c r="B796" s="16" t="str">
        <x:v>2000559142-U111</x:v>
      </x:c>
      <x:c r="C796" s="16" t="str">
        <x:v>ГИБ 90° 12Х1МФ 133*13*1942 R600 К-2286-3</x:v>
      </x:c>
      <x:c r="D796" s="16" t="str">
        <x:v>Трубопроводы и элементы трубопроводов высокого давления</x:v>
      </x:c>
      <x:c r="E796" s="16" t="str">
        <x:v>ШТ</x:v>
      </x:c>
      <x:c r="F796" s="21" t="n">
        <x:v>1</x:v>
      </x:c>
      <x:c r="G796" s="17" t="n">
        <x:v>1072.7338</x:v>
      </x:c>
      <x:c r="H796" s="17" t="n">
        <x:f>G796*F796</x:f>
        <x:v>1072.7338</x:v>
      </x:c>
      <x:c r="I796" s="22" t="str">
        <x:f>HYPERLINK("https://etp-aktiv.ru/catalog/materialy/truboprovody/2000559142-U111/","Открыть позицию")</x:f>
        <x:v>Открыть позицию</x:v>
      </x:c>
    </x:row>
    <x:row r="797" ht="28" customHeight="1">
      <x:c r="A797" s="16" t="str">
        <x:v>Томь-Усинская ГРЭС</x:v>
      </x:c>
      <x:c r="B797" s="16" t="str">
        <x:v>2000718322-U111</x:v>
      </x:c>
      <x:c r="C797" s="16" t="str">
        <x:v>ГИБ 90° 159*7 СТ12Х1МФ КТЦ-200-6</x:v>
      </x:c>
      <x:c r="D797" s="16" t="str">
        <x:v>Трубопроводы и элементы трубопроводов высокого давления</x:v>
      </x:c>
      <x:c r="E797" s="16" t="str">
        <x:v>ШТ</x:v>
      </x:c>
      <x:c r="F797" s="21" t="n">
        <x:v>2</x:v>
      </x:c>
      <x:c r="G797" s="17" t="n">
        <x:v>11163.1952</x:v>
      </x:c>
      <x:c r="H797" s="17" t="n">
        <x:f>G797*F797</x:f>
        <x:v>22326.3904</x:v>
      </x:c>
      <x:c r="I797" s="22" t="str">
        <x:f>HYPERLINK("https://etp-aktiv.ru/catalog/materialy/truboprovody/2000718322-U111/","Открыть позицию")</x:f>
        <x:v>Открыть позицию</x:v>
      </x:c>
    </x:row>
    <x:row r="798" ht="28" customHeight="1">
      <x:c r="A798" s="16" t="str">
        <x:v>Томь-Усинская ГРЭС</x:v>
      </x:c>
      <x:c r="B798" s="16" t="str">
        <x:v>2000555457-U111</x:v>
      </x:c>
      <x:c r="C798" s="16" t="str">
        <x:v>ЗАГЛУШКА НАРУЖНАЯ 32 ТУ40-461-806-60</x:v>
      </x:c>
      <x:c r="D798" s="16" t="str">
        <x:v>Детали фасонные</x:v>
      </x:c>
      <x:c r="E798" s="16" t="str">
        <x:v>ШТ</x:v>
      </x:c>
      <x:c r="F798" s="21" t="n">
        <x:v>256</x:v>
      </x:c>
      <x:c r="G798" s="17" t="n">
        <x:v>16.9824</x:v>
      </x:c>
      <x:c r="H798" s="17" t="n">
        <x:f>G798*F798</x:f>
        <x:v>4347.4944</x:v>
      </x:c>
      <x:c r="I798" s="22" t="str">
        <x:f>HYPERLINK("https://etp-aktiv.ru/catalog/materialy/truboprovody/2000555457-U111/","Открыть позицию")</x:f>
        <x:v>Открыть позицию</x:v>
      </x:c>
    </x:row>
    <x:row r="799" ht="28" customHeight="1">
      <x:c r="A799" s="16" t="str">
        <x:v>Томь-Усинская ГРЭС</x:v>
      </x:c>
      <x:c r="B799" s="16" t="str">
        <x:v>2000555461-U111</x:v>
      </x:c>
      <x:c r="C799" s="16" t="str">
        <x:v>ЗАГЛУШКА НАРУЖНАЯ 76 ТУ40-461-806-60</x:v>
      </x:c>
      <x:c r="D799" s="16" t="str">
        <x:v>Детали фасонные</x:v>
      </x:c>
      <x:c r="E799" s="16" t="str">
        <x:v>ШТ</x:v>
      </x:c>
      <x:c r="F799" s="21" t="n">
        <x:v>84</x:v>
      </x:c>
      <x:c r="G799" s="17" t="n">
        <x:v>86.925</x:v>
      </x:c>
      <x:c r="H799" s="17" t="n">
        <x:f>G799*F799</x:f>
        <x:v>7301.7</x:v>
      </x:c>
      <x:c r="I799" s="22" t="str">
        <x:f>HYPERLINK("https://etp-aktiv.ru/catalog/materialy/truboprovody/2000555461-U111/","Открыть позицию")</x:f>
        <x:v>Открыть позицию</x:v>
      </x:c>
    </x:row>
    <x:row r="800" ht="28" customHeight="1">
      <x:c r="A800" s="16" t="str">
        <x:v>Томь-Усинская ГРЭС</x:v>
      </x:c>
      <x:c r="B800" s="16" t="str">
        <x:v>2000920310-U111</x:v>
      </x:c>
      <x:c r="C800" s="16" t="str">
        <x:v>ЗАГЛУШКА НАРУЖНАЯ TXT22</x:v>
      </x:c>
      <x:c r="D800" s="16" t="str">
        <x:v>Детали фасонные</x:v>
      </x:c>
      <x:c r="E800" s="16" t="str">
        <x:v>ШТ</x:v>
      </x:c>
      <x:c r="F800" s="21" t="n">
        <x:v>4000</x:v>
      </x:c>
      <x:c r="G800" s="17" t="n">
        <x:v>10.2724</x:v>
      </x:c>
      <x:c r="H800" s="17" t="n">
        <x:f>G800*F800</x:f>
        <x:v>41089.6</x:v>
      </x:c>
      <x:c r="I800" s="22" t="str">
        <x:f>HYPERLINK("https://etp-aktiv.ru/catalog/materialy/truboprovody/2000920310-U111/","Открыть позицию")</x:f>
        <x:v>Открыть позицию</x:v>
      </x:c>
    </x:row>
    <x:row r="801" ht="28" customHeight="1">
      <x:c r="A801" s="16" t="str">
        <x:v>Томь-Усинская ГРЭС</x:v>
      </x:c>
      <x:c r="B801" s="16" t="str">
        <x:v>2000555462-U111</x:v>
      </x:c>
      <x:c r="C801" s="16" t="str">
        <x:v>ЗАГЛУШКА НАРУЖНЯЯ КРУГЛАЯ TXT 31,8</x:v>
      </x:c>
      <x:c r="D801" s="16" t="str">
        <x:v>Детали фасонные</x:v>
      </x:c>
      <x:c r="E801" s="16" t="str">
        <x:v>ШТ</x:v>
      </x:c>
      <x:c r="F801" s="21" t="n">
        <x:v>480</x:v>
      </x:c>
      <x:c r="G801" s="17" t="n">
        <x:v>21.459799999999998</x:v>
      </x:c>
      <x:c r="H801" s="17" t="n">
        <x:f>G801*F801</x:f>
        <x:v>10300.704</x:v>
      </x:c>
      <x:c r="I801" s="22" t="str">
        <x:f>HYPERLINK("https://etp-aktiv.ru/catalog/materialy/truboprovody/2000555462-U111/","Открыть позицию")</x:f>
        <x:v>Открыть позицию</x:v>
      </x:c>
    </x:row>
    <x:row r="802" ht="28" customHeight="1">
      <x:c r="A802" s="16" t="str">
        <x:v>Томь-Усинская ГРЭС</x:v>
      </x:c>
      <x:c r="B802" s="16" t="str">
        <x:v>2000555463-U111</x:v>
      </x:c>
      <x:c r="C802" s="16" t="str">
        <x:v>ЗАГЛУШКА НАРУЖНЯЯ КРУГЛАЯ TXT 42,4</x:v>
      </x:c>
      <x:c r="D802" s="16" t="str">
        <x:v>Детали фасонные</x:v>
      </x:c>
      <x:c r="E802" s="16" t="str">
        <x:v>ШТ</x:v>
      </x:c>
      <x:c r="F802" s="21" t="n">
        <x:v>360</x:v>
      </x:c>
      <x:c r="G802" s="17" t="n">
        <x:v>36.5146</x:v>
      </x:c>
      <x:c r="H802" s="17" t="n">
        <x:f>G802*F802</x:f>
        <x:v>13145.256000000001</x:v>
      </x:c>
      <x:c r="I802" s="22" t="str">
        <x:f>HYPERLINK("https://etp-aktiv.ru/catalog/materialy/truboprovody/2000555463-U111/","Открыть позицию")</x:f>
        <x:v>Открыть позицию</x:v>
      </x:c>
    </x:row>
    <x:row r="803" ht="28" customHeight="1">
      <x:c r="A803" s="16" t="str">
        <x:v>Томь-Усинская ГРЭС</x:v>
      </x:c>
      <x:c r="B803" s="16" t="str">
        <x:v>2000241400-U111</x:v>
      </x:c>
      <x:c r="C803" s="16" t="str">
        <x:v>ЗАГЛУШКА ПВХ DN160 PN16 CIV160</x:v>
      </x:c>
      <x:c r="D803" s="16" t="str">
        <x:v>Детали фасонные</x:v>
      </x:c>
      <x:c r="E803" s="16" t="str">
        <x:v>ШТ</x:v>
      </x:c>
      <x:c r="F803" s="21" t="n">
        <x:v>4</x:v>
      </x:c>
      <x:c r="G803" s="17" t="n">
        <x:v>139.5558</x:v>
      </x:c>
      <x:c r="H803" s="17" t="n">
        <x:f>G803*F803</x:f>
        <x:v>558.2232</x:v>
      </x:c>
      <x:c r="I803" s="22" t="str">
        <x:f>HYPERLINK("https://etp-aktiv.ru/catalog/materialy/truboprovody/2000241400-U111/","Открыть позицию")</x:f>
        <x:v>Открыть позицию</x:v>
      </x:c>
    </x:row>
    <x:row r="804" ht="28" customHeight="1">
      <x:c r="A804" s="16" t="str">
        <x:v>Томь-Усинская ГРЭС</x:v>
      </x:c>
      <x:c r="B804" s="16" t="str">
        <x:v>2000639302-U111</x:v>
      </x:c>
      <x:c r="C804" s="16" t="str">
        <x:v>ЗАГЛУШКА ТРАНСП НАРУЖ 108 ТУ40-461-80660</x:v>
      </x:c>
      <x:c r="D804" s="16" t="str">
        <x:v>Детали фасонные</x:v>
      </x:c>
      <x:c r="E804" s="16" t="str">
        <x:v>ШТ</x:v>
      </x:c>
      <x:c r="F804" s="21" t="n">
        <x:v>12</x:v>
      </x:c>
      <x:c r="G804" s="17" t="n">
        <x:v>34.099</x:v>
      </x:c>
      <x:c r="H804" s="17" t="n">
        <x:f>G804*F804</x:f>
        <x:v>409.188</x:v>
      </x:c>
      <x:c r="I804" s="22" t="str">
        <x:f>HYPERLINK("https://etp-aktiv.ru/catalog/materialy/truboprovody/2000639302-U111/","Открыть позицию")</x:f>
        <x:v>Открыть позицию</x:v>
      </x:c>
    </x:row>
    <x:row r="805" ht="28" customHeight="1">
      <x:c r="A805" s="16" t="str">
        <x:v>Томь-Усинская ГРЭС</x:v>
      </x:c>
      <x:c r="B805" s="16" t="str">
        <x:v>2000578152-U111</x:v>
      </x:c>
      <x:c r="C805" s="16" t="str">
        <x:v>ЗАДВИЖКА 30Ч906БР DN200 PN10 ПОД Э\П ФЛ</x:v>
      </x:c>
      <x:c r="D805" s="16" t="str">
        <x:v>Чугунная арматура (кроме затворов)</x:v>
      </x:c>
      <x:c r="E805" s="16" t="str">
        <x:v>ШТ</x:v>
      </x:c>
      <x:c r="F805" s="21" t="n">
        <x:v>11</x:v>
      </x:c>
      <x:c r="G805" s="17" t="n">
        <x:v>26664.075999999997</x:v>
      </x:c>
      <x:c r="H805" s="17" t="n">
        <x:f>G805*F805</x:f>
        <x:v>293304.83599999995</x:v>
      </x:c>
      <x:c r="I805" s="22" t="str">
        <x:f>HYPERLINK("https://etp-aktiv.ru/catalog/materialy/truboprovodnaya-armatura-i-komplektuyushchie/2000578152-U111/","Открыть позицию")</x:f>
        <x:v>Открыть позицию</x:v>
      </x:c>
    </x:row>
    <x:row r="806" ht="28" customHeight="1">
      <x:c r="A806" s="16" t="str">
        <x:v>Томь-Усинская ГРЭС</x:v>
      </x:c>
      <x:c r="B806" s="16" t="str">
        <x:v>2000903932-U111</x:v>
      </x:c>
      <x:c r="C806" s="16" t="str">
        <x:v>ЗАТВОР СИМ 150/16 ВЧ ВЧ EPDM МФ Р</x:v>
      </x:c>
      <x:c r="D806" s="16" t="str">
        <x:v>Затворы чугунные поворотные</x:v>
      </x:c>
      <x:c r="E806" s="16" t="str">
        <x:v>ШТ</x:v>
      </x:c>
      <x:c r="F806" s="21" t="n">
        <x:v>7</x:v>
      </x:c>
      <x:c r="G806" s="17" t="n">
        <x:v>9945.196</x:v>
      </x:c>
      <x:c r="H806" s="17" t="n">
        <x:f>G806*F806</x:f>
        <x:v>69616.372</x:v>
      </x:c>
      <x:c r="I806" s="22" t="str">
        <x:f>HYPERLINK("https://etp-aktiv.ru/catalog/materialy/truboprovodnaya-armatura-i-komplektuyushchie/2000903932-U111/","Открыть позицию")</x:f>
        <x:v>Открыть позицию</x:v>
      </x:c>
    </x:row>
    <x:row r="807" ht="28" customHeight="1">
      <x:c r="A807" s="16" t="str">
        <x:v>Томь-Усинская ГРЭС</x:v>
      </x:c>
      <x:c r="B807" s="16" t="str">
        <x:v>2000688610-U111</x:v>
      </x:c>
      <x:c r="C807" s="16" t="str">
        <x:v>КЛАПАН 15КЧ18П1 DN32 PN16 РП МУФ</x:v>
      </x:c>
      <x:c r="D807" s="16" t="str">
        <x:v>Чугунная арматура (кроме затворов)</x:v>
      </x:c>
      <x:c r="E807" s="16" t="str">
        <x:v>ШТ</x:v>
      </x:c>
      <x:c r="F807" s="21" t="n">
        <x:v>1</x:v>
      </x:c>
      <x:c r="G807" s="17" t="n">
        <x:v>631.35</x:v>
      </x:c>
      <x:c r="H807" s="17" t="n">
        <x:f>G807*F807</x:f>
        <x:v>631.35</x:v>
      </x:c>
      <x:c r="I807" s="22" t="str">
        <x:f>HYPERLINK("https://etp-aktiv.ru/catalog/materialy/truboprovodnaya-armatura-i-komplektuyushchie/2000688610-U111/","Открыть позицию")</x:f>
        <x:v>Открыть позицию</x:v>
      </x:c>
    </x:row>
    <x:row r="808" ht="28" customHeight="1">
      <x:c r="A808" s="16" t="str">
        <x:v>Томь-Усинская ГРЭС</x:v>
      </x:c>
      <x:c r="B808" s="16" t="str">
        <x:v>2000688727-U111</x:v>
      </x:c>
      <x:c r="C808" s="16" t="str">
        <x:v>КЛАПАН 15КЧ18П2 DN15 PN16 РП МУФ</x:v>
      </x:c>
      <x:c r="D808" s="16" t="str">
        <x:v>Чугунная арматура (кроме затворов)</x:v>
      </x:c>
      <x:c r="E808" s="16" t="str">
        <x:v>ШТ</x:v>
      </x:c>
      <x:c r="F808" s="21" t="n">
        <x:v>47</x:v>
      </x:c>
      <x:c r="G808" s="17" t="n">
        <x:v>209.474</x:v>
      </x:c>
      <x:c r="H808" s="17" t="n">
        <x:f>G808*F808</x:f>
        <x:v>9845.278</x:v>
      </x:c>
      <x:c r="I808" s="22" t="str">
        <x:f>HYPERLINK("https://etp-aktiv.ru/catalog/materialy/truboprovodnaya-armatura-i-komplektuyushchie/2000688727-U111/","Открыть позицию")</x:f>
        <x:v>Открыть позицию</x:v>
      </x:c>
    </x:row>
    <x:row r="809" ht="28" customHeight="1">
      <x:c r="A809" s="16" t="str">
        <x:v>Томь-Усинская ГРЭС</x:v>
      </x:c>
      <x:c r="B809" s="16" t="str">
        <x:v>2000539563-U111</x:v>
      </x:c>
      <x:c r="C809" s="16" t="str">
        <x:v>КЛАПАН 15КЧ19П DN40 PN16 Р/П</x:v>
      </x:c>
      <x:c r="D809" s="16" t="str">
        <x:v>Чугунная арматура (кроме затворов)</x:v>
      </x:c>
      <x:c r="E809" s="16" t="str">
        <x:v>ШТ</x:v>
      </x:c>
      <x:c r="F809" s="21" t="n">
        <x:v>25</x:v>
      </x:c>
      <x:c r="G809" s="17" t="n">
        <x:v>1187.0112</x:v>
      </x:c>
      <x:c r="H809" s="17" t="n">
        <x:f>G809*F809</x:f>
        <x:v>29675.28</x:v>
      </x:c>
      <x:c r="I809" s="22" t="str">
        <x:f>HYPERLINK("https://etp-aktiv.ru/catalog/materialy/truboprovodnaya-armatura-i-komplektuyushchie/2000539563-U111/","Открыть позицию")</x:f>
        <x:v>Открыть позицию</x:v>
      </x:c>
    </x:row>
    <x:row r="810" ht="28" customHeight="1">
      <x:c r="A810" s="16" t="str">
        <x:v>Томь-Усинская ГРЭС</x:v>
      </x:c>
      <x:c r="B810" s="16" t="str">
        <x:v>2000853177-U111</x:v>
      </x:c>
      <x:c r="C810" s="16" t="str">
        <x:v>КЛАПАН 22С-20-2-Э-05 DN20 PN250 ЭП ПП</x:v>
      </x:c>
      <x:c r="D810" s="16" t="str">
        <x:v>Трубопроводная арматура высокого давления</x:v>
      </x:c>
      <x:c r="E810" s="16" t="str">
        <x:v>ШТ</x:v>
      </x:c>
      <x:c r="F810" s="21" t="n">
        <x:v>1</x:v>
      </x:c>
      <x:c r="G810" s="17" t="n">
        <x:v>228321.58479999998</x:v>
      </x:c>
      <x:c r="H810" s="17" t="n">
        <x:f>G810*F810</x:f>
        <x:v>228321.58479999998</x:v>
      </x:c>
      <x:c r="I810" s="22" t="str">
        <x:f>HYPERLINK("https://etp-aktiv.ru/catalog/materialy/truboprovodnaya-armatura-i-komplektuyushchie/2000853177-U111/","Открыть позицию")</x:f>
        <x:v>Открыть позицию</x:v>
      </x:c>
    </x:row>
    <x:row r="811" ht="28" customHeight="1">
      <x:c r="A811" s="16" t="str">
        <x:v>Томь-Усинская ГРЭС</x:v>
      </x:c>
      <x:c r="B811" s="16" t="str">
        <x:v>2000969814-U111</x:v>
      </x:c>
      <x:c r="C811" s="16" t="str">
        <x:v>КОЛЬЦО 84 СТ20 08 СТО ЦКТИ520.01-2009</x:v>
      </x:c>
      <x:c r="D811" s="16" t="str">
        <x:v>Трубопроводы и элементы трубопроводов высокого давления</x:v>
      </x:c>
      <x:c r="E811" s="16" t="str">
        <x:v>ШТ</x:v>
      </x:c>
      <x:c r="F811" s="21" t="n">
        <x:v>168</x:v>
      </x:c>
      <x:c r="G811" s="17" t="n">
        <x:v>848.2049999999999</x:v>
      </x:c>
      <x:c r="H811" s="17" t="n">
        <x:f>G811*F811</x:f>
        <x:v>142498.44</x:v>
      </x:c>
      <x:c r="I811" s="22" t="str">
        <x:f>HYPERLINK("https://etp-aktiv.ru/catalog/materialy/truboprovody/2000969814-U111/","Открыть позицию")</x:f>
        <x:v>Открыть позицию</x:v>
      </x:c>
    </x:row>
    <x:row r="812" ht="28" customHeight="1">
      <x:c r="A812" s="16" t="str">
        <x:v>Томь-Усинская ГРЭС</x:v>
      </x:c>
      <x:c r="B812" s="16" t="str">
        <x:v>2000557784-U111</x:v>
      </x:c>
      <x:c r="C812" s="16" t="str">
        <x:v>КРАН ШАРОВОЙ ПВХ DN50 PN16 VEELV200E</x:v>
      </x:c>
      <x:c r="D812" s="16" t="str">
        <x:v>Фитинги труб полимерных</x:v>
      </x:c>
      <x:c r="E812" s="16" t="str">
        <x:v>ШТ</x:v>
      </x:c>
      <x:c r="F812" s="21" t="n">
        <x:v>5</x:v>
      </x:c>
      <x:c r="G812" s="17" t="n">
        <x:v>1935.53</x:v>
      </x:c>
      <x:c r="H812" s="17" t="n">
        <x:f>G812*F812</x:f>
        <x:v>9677.65</x:v>
      </x:c>
      <x:c r="I812" s="22" t="str">
        <x:f>HYPERLINK("https://etp-aktiv.ru/catalog/materialy/truboprovody/2000557784-U111/","Открыть позицию")</x:f>
        <x:v>Открыть позицию</x:v>
      </x:c>
    </x:row>
    <x:row r="813" ht="28" customHeight="1">
      <x:c r="A813" s="16" t="str">
        <x:v>Томь-Усинская ГРЭС</x:v>
      </x:c>
      <x:c r="B813" s="16" t="str">
        <x:v>2000256000-U111</x:v>
      </x:c>
      <x:c r="C813" s="16" t="str">
        <x:v>КРАН ШАРОВЫЙ 11НЖ38П1 DN15 PN16</x:v>
      </x:c>
      <x:c r="D813" s="16" t="str">
        <x:v>Краны шаровые стальные</x:v>
      </x:c>
      <x:c r="E813" s="16" t="str">
        <x:v>ШТ</x:v>
      </x:c>
      <x:c r="F813" s="21" t="n">
        <x:v>7</x:v>
      </x:c>
      <x:c r="G813" s="17" t="n">
        <x:v>5718.75</x:v>
      </x:c>
      <x:c r="H813" s="17" t="n">
        <x:f>G813*F813</x:f>
        <x:v>40031.25</x:v>
      </x:c>
      <x:c r="I813" s="22" t="str">
        <x:f>HYPERLINK("https://etp-aktiv.ru/catalog/materialy/truboprovodnaya-armatura-i-komplektuyushchie/2000256000-U111/","Открыть позицию")</x:f>
        <x:v>Открыть позицию</x:v>
      </x:c>
    </x:row>
    <x:row r="814" ht="28" customHeight="1">
      <x:c r="A814" s="16" t="str">
        <x:v>Томь-Усинская ГРЭС</x:v>
      </x:c>
      <x:c r="B814" s="16" t="str">
        <x:v>2000698839-U111</x:v>
      </x:c>
      <x:c r="C814" s="16" t="str">
        <x:v>МУФТА PP D160 РАСТРУБНОЕ РРН20160</x:v>
      </x:c>
      <x:c r="D814" s="16" t="str">
        <x:v>Фитинги труб полимерных</x:v>
      </x:c>
      <x:c r="E814" s="16" t="str">
        <x:v>ШТ</x:v>
      </x:c>
      <x:c r="F814" s="21" t="n">
        <x:v>1</x:v>
      </x:c>
      <x:c r="G814" s="17" t="n">
        <x:v>262.4098</x:v>
      </x:c>
      <x:c r="H814" s="17" t="n">
        <x:f>G814*F814</x:f>
        <x:v>262.4098</x:v>
      </x:c>
      <x:c r="I814" s="22" t="str">
        <x:f>HYPERLINK("https://etp-aktiv.ru/catalog/materialy/truboprovody/2000698839-U111/","Открыть позицию")</x:f>
        <x:v>Открыть позицию</x:v>
      </x:c>
    </x:row>
    <x:row r="815" ht="28" customHeight="1">
      <x:c r="A815" s="16" t="str">
        <x:v>Томь-Усинская ГРЭС</x:v>
      </x:c>
      <x:c r="B815" s="16" t="str">
        <x:v>2000240256-U111</x:v>
      </x:c>
      <x:c r="C815" s="16" t="str">
        <x:v>МУФТА ПВХ DN110 PN16 MIV110 СОЕДИНИТЕЛЬН</x:v>
      </x:c>
      <x:c r="D815" s="16" t="str">
        <x:v>Детали фасонные</x:v>
      </x:c>
      <x:c r="E815" s="16" t="str">
        <x:v>ШТ</x:v>
      </x:c>
      <x:c r="F815" s="21" t="n">
        <x:v>4</x:v>
      </x:c>
      <x:c r="G815" s="17" t="n">
        <x:v>102.05300000000001</x:v>
      </x:c>
      <x:c r="H815" s="17" t="n">
        <x:f>G815*F815</x:f>
        <x:v>408.21200000000005</x:v>
      </x:c>
      <x:c r="I815" s="22" t="str">
        <x:f>HYPERLINK("https://etp-aktiv.ru/catalog/materialy/truboprovody/2000240256-U111/","Открыть позицию")</x:f>
        <x:v>Открыть позицию</x:v>
      </x:c>
    </x:row>
    <x:row r="816" ht="28" customHeight="1">
      <x:c r="A816" s="16" t="str">
        <x:v>Томь-Усинская ГРЭС</x:v>
      </x:c>
      <x:c r="B816" s="16" t="str">
        <x:v>2000188084-U111</x:v>
      </x:c>
      <x:c r="C816" s="16" t="str">
        <x:v>МУФТА ПВХ DN160 PN16 MIV160 СОЕДИНИТЕЛЬН</x:v>
      </x:c>
      <x:c r="D816" s="16" t="str">
        <x:v>Детали фасонные</x:v>
      </x:c>
      <x:c r="E816" s="16" t="str">
        <x:v>ШТ</x:v>
      </x:c>
      <x:c r="F816" s="21" t="n">
        <x:v>2</x:v>
      </x:c>
      <x:c r="G816" s="17" t="n">
        <x:v>381.28659999999996</x:v>
      </x:c>
      <x:c r="H816" s="17" t="n">
        <x:f>G816*F816</x:f>
        <x:v>762.5731999999999</x:v>
      </x:c>
      <x:c r="I816" s="22" t="str">
        <x:f>HYPERLINK("https://etp-aktiv.ru/catalog/materialy/truboprovody/2000188084-U111/","Открыть позицию")</x:f>
        <x:v>Открыть позицию</x:v>
      </x:c>
    </x:row>
    <x:row r="817" ht="28" customHeight="1">
      <x:c r="A817" s="16" t="str">
        <x:v>Томь-Усинская ГРЭС</x:v>
      </x:c>
      <x:c r="B817" s="16" t="str">
        <x:v>M2000568625-U111</x:v>
      </x:c>
      <x:c r="C817" s="16" t="str">
        <x:v>ОТВОД 90 175-2810 12Х1МФ 30ОСТ108.321.20</x:v>
      </x:c>
      <x:c r="D817" s="16" t="str">
        <x:v>Трубопроводы и элементы трубопроводов высокого давления</x:v>
      </x:c>
      <x:c r="E817" s="16" t="str">
        <x:v>ШТ</x:v>
      </x:c>
      <x:c r="F817" s="21" t="n">
        <x:v>2</x:v>
      </x:c>
      <x:c r="G817" s="17" t="n">
        <x:v>5205.13</x:v>
      </x:c>
      <x:c r="H817" s="17" t="n">
        <x:f>G817*F817</x:f>
        <x:v>10410.26</x:v>
      </x:c>
      <x:c r="I817" s="22" t="str">
        <x:f>HYPERLINK("https://etp-aktiv.ru/catalog/materialy/truboprovody/M2000568625-U111/","Открыть позицию")</x:f>
        <x:v>Открыть позицию</x:v>
      </x:c>
    </x:row>
    <x:row r="818" ht="28" customHeight="1">
      <x:c r="A818" s="16" t="str">
        <x:v>Томь-Усинская ГРЭС</x:v>
      </x:c>
      <x:c r="B818" s="16" t="str">
        <x:v>2000319896-U111</x:v>
      </x:c>
      <x:c r="C818" s="16" t="str">
        <x:v>ОТВОД 90° СТ20 DN48,3 3,6 ГОСТ17375-01</x:v>
      </x:c>
      <x:c r="D818" s="16" t="str">
        <x:v>Детали фасонные</x:v>
      </x:c>
      <x:c r="E818" s="16" t="str">
        <x:v>ШТ</x:v>
      </x:c>
      <x:c r="F818" s="21" t="n">
        <x:v>1</x:v>
      </x:c>
      <x:c r="G818" s="17" t="n">
        <x:v>114.83859999999999</x:v>
      </x:c>
      <x:c r="H818" s="17" t="n">
        <x:f>G818*F818</x:f>
        <x:v>114.83859999999999</x:v>
      </x:c>
      <x:c r="I818" s="22" t="str">
        <x:f>HYPERLINK("https://etp-aktiv.ru/catalog/materialy/truboprovody/2000319896-U111/","Открыть позицию")</x:f>
        <x:v>Открыть позицию</x:v>
      </x:c>
    </x:row>
    <x:row r="819" ht="28" customHeight="1">
      <x:c r="A819" s="16" t="str">
        <x:v>Томь-Усинская ГРЭС</x:v>
      </x:c>
      <x:c r="B819" s="16" t="str">
        <x:v>2001042294-U111</x:v>
      </x:c>
      <x:c r="C819" s="16" t="str">
        <x:v>ПЕРЕХОД К 17Г1С 1200*800 PN16 ТС-585-56</x:v>
      </x:c>
      <x:c r="D819" s="16" t="str">
        <x:v>Детали фасонные</x:v>
      </x:c>
      <x:c r="E819" s="16" t="str">
        <x:v>ШТ</x:v>
      </x:c>
      <x:c r="F819" s="21" t="n">
        <x:v>1</x:v>
      </x:c>
      <x:c r="G819" s="17" t="n">
        <x:v>13094.809000000001</x:v>
      </x:c>
      <x:c r="H819" s="17" t="n">
        <x:f>G819*F819</x:f>
        <x:v>13094.809000000001</x:v>
      </x:c>
      <x:c r="I819" s="22" t="str">
        <x:f>HYPERLINK("https://etp-aktiv.ru/catalog/materialy/truboprovody/2001042294-U111/","Открыть позицию")</x:f>
        <x:v>Открыть позицию</x:v>
      </x:c>
    </x:row>
    <x:row r="820" ht="28" customHeight="1">
      <x:c r="A820" s="16" t="str">
        <x:v>Томь-Усинская ГРЭС</x:v>
      </x:c>
      <x:c r="B820" s="16" t="str">
        <x:v>2000120258-U111</x:v>
      </x:c>
      <x:c r="C820" s="16" t="str">
        <x:v>РЕЗЬБА D15 ГОСТ6357-81</x:v>
      </x:c>
      <x:c r="D820" s="16" t="str">
        <x:v>Детали фасонные</x:v>
      </x:c>
      <x:c r="E820" s="16" t="str">
        <x:v>ШТ</x:v>
      </x:c>
      <x:c r="F820" s="21" t="n">
        <x:v>8</x:v>
      </x:c>
      <x:c r="G820" s="17" t="n">
        <x:v>86.925</x:v>
      </x:c>
      <x:c r="H820" s="17" t="n">
        <x:f>G820*F820</x:f>
        <x:v>695.4</x:v>
      </x:c>
      <x:c r="I820" s="22" t="str">
        <x:f>HYPERLINK("https://etp-aktiv.ru/catalog/materialy/truboprovody/2000120258-U111/","Открыть позицию")</x:f>
        <x:v>Открыть позицию</x:v>
      </x:c>
    </x:row>
    <x:row r="821" ht="28" customHeight="1">
      <x:c r="A821" s="16" t="str">
        <x:v>Томь-Усинская ГРЭС</x:v>
      </x:c>
      <x:c r="B821" s="16" t="str">
        <x:v>2000560649-U111</x:v>
      </x:c>
      <x:c r="C821" s="16" t="str">
        <x:v>ТРУБА 12Х18Н10Т 16*2,5 ГОСТ9941-81</x:v>
      </x:c>
      <x:c r="D821" s="16" t="str">
        <x:v>Трубы нержавеющ(сварные и бесшовн) кроме котельн выс.давл</x:v>
      </x:c>
      <x:c r="E821" s="16" t="str">
        <x:v>Т</x:v>
      </x:c>
      <x:c r="F821" s="30" t="n">
        <x:v>0.205</x:v>
      </x:c>
      <x:c r="G821" s="17" t="n">
        <x:v>439086.89379999996</x:v>
      </x:c>
      <x:c r="H821" s="17" t="n">
        <x:f>G821*F821</x:f>
        <x:v>90012.81322899999</x:v>
      </x:c>
      <x:c r="I821" s="22" t="str">
        <x:f>HYPERLINK("https://etp-aktiv.ru/catalog/materialy/truby-stalnye-i-polimernye/2000560649-U111/","Открыть позицию")</x:f>
        <x:v>Открыть позицию</x:v>
      </x:c>
    </x:row>
    <x:row r="822" ht="28" customHeight="1">
      <x:c r="A822" s="16" t="str">
        <x:v>Томь-Усинская ГРЭС</x:v>
      </x:c>
      <x:c r="B822" s="16" t="str">
        <x:v>2000244737-U111</x:v>
      </x:c>
      <x:c r="C822" s="16" t="str">
        <x:v>ТРУБА 12Х1МФ 133*15 ТУ14-3Р-55-01</x:v>
      </x:c>
      <x:c r="D822" s="16" t="str">
        <x:v>Трубы котельные высокого давления</x:v>
      </x:c>
      <x:c r="E822" s="16" t="str">
        <x:v>Т</x:v>
      </x:c>
      <x:c r="F822" s="29" t="n">
        <x:v>2.244</x:v>
      </x:c>
      <x:c r="G822" s="17" t="n">
        <x:v>195488.32259999998</x:v>
      </x:c>
      <x:c r="H822" s="17" t="n">
        <x:f>G822*F822</x:f>
        <x:v>438675.7959144</x:v>
      </x:c>
      <x:c r="I822" s="22" t="str">
        <x:f>HYPERLINK("https://etp-aktiv.ru/catalog/materialy/truby-stalnye-i-polimernye/2000244737-U111/","Открыть позицию")</x:f>
        <x:v>Открыть позицию</x:v>
      </x:c>
    </x:row>
    <x:row r="823" ht="28" customHeight="1">
      <x:c r="A823" s="16" t="str">
        <x:v>Томь-Усинская ГРЭС</x:v>
      </x:c>
      <x:c r="B823" s="16" t="str">
        <x:v>2000546088-U111</x:v>
      </x:c>
      <x:c r="C823" s="16" t="str">
        <x:v>ТРУБА 12Х1МФ 325*32 ТУ14-3Р-55-01</x:v>
      </x:c>
      <x:c r="D823" s="16" t="str">
        <x:v>Трубы котельные высокого давления</x:v>
      </x:c>
      <x:c r="E823" s="16" t="str">
        <x:v>Т</x:v>
      </x:c>
      <x:c r="F823" s="29" t="n">
        <x:v>3.819</x:v>
      </x:c>
      <x:c r="G823" s="17" t="n">
        <x:v>304210.538</x:v>
      </x:c>
      <x:c r="H823" s="17" t="n">
        <x:f>G823*F823</x:f>
        <x:v>1161780.044622</x:v>
      </x:c>
      <x:c r="I823" s="22" t="str">
        <x:f>HYPERLINK("https://etp-aktiv.ru/catalog/materialy/truby-stalnye-i-polimernye/2000546088-U111/","Открыть позицию")</x:f>
        <x:v>Открыть позицию</x:v>
      </x:c>
    </x:row>
    <x:row r="824" ht="28" customHeight="1">
      <x:c r="A824" s="16" t="str">
        <x:v>Томь-Усинская ГРЭС</x:v>
      </x:c>
      <x:c r="B824" s="16" t="str">
        <x:v>2000546021-U111</x:v>
      </x:c>
      <x:c r="C824" s="16" t="str">
        <x:v>ТРУБА 12Х1МФ 36*8 ТУ14-3Р-55-01</x:v>
      </x:c>
      <x:c r="D824" s="16" t="str">
        <x:v>Трубы котельные высокого давления</x:v>
      </x:c>
      <x:c r="E824" s="16" t="str">
        <x:v>Т</x:v>
      </x:c>
      <x:c r="F824" s="29" t="n">
        <x:v>2.393</x:v>
      </x:c>
      <x:c r="G824" s="17" t="n">
        <x:v>84808.3732</x:v>
      </x:c>
      <x:c r="H824" s="17" t="n">
        <x:f>G824*F824</x:f>
        <x:v>202946.4370676</x:v>
      </x:c>
      <x:c r="I824" s="22" t="str">
        <x:f>HYPERLINK("https://etp-aktiv.ru/catalog/materialy/truby-stalnye-i-polimernye/2000546021-U111/","Открыть позицию")</x:f>
        <x:v>Открыть позицию</x:v>
      </x:c>
    </x:row>
    <x:row r="825" ht="28" customHeight="1">
      <x:c r="A825" s="16" t="str">
        <x:v>Томь-Усинская ГРЭС</x:v>
      </x:c>
      <x:c r="B825" s="16" t="str">
        <x:v>2000147485-U111</x:v>
      </x:c>
      <x:c r="C825" s="16" t="str">
        <x:v>ТРУБА 12Х1МФ 38*4,5 ТУ14-3-460-75</x:v>
      </x:c>
      <x:c r="D825" s="16" t="str">
        <x:v>Трубы котельные высокого давления</x:v>
      </x:c>
      <x:c r="E825" s="16" t="str">
        <x:v>Т</x:v>
      </x:c>
      <x:c r="F825" s="29" t="n">
        <x:v>1.96</x:v>
      </x:c>
      <x:c r="G825" s="17" t="n">
        <x:v>251035.92299999998</x:v>
      </x:c>
      <x:c r="H825" s="17" t="n">
        <x:f>G825*F825</x:f>
        <x:v>492030.40907999995</x:v>
      </x:c>
      <x:c r="I825" s="22" t="str">
        <x:f>HYPERLINK("https://etp-aktiv.ru/catalog/materialy/truby-stalnye-i-polimernye/2000147485-U111/","Открыть позицию")</x:f>
        <x:v>Открыть позицию</x:v>
      </x:c>
    </x:row>
    <x:row r="826" ht="28" customHeight="1">
      <x:c r="A826" s="16" t="str">
        <x:v>Томь-Усинская ГРЭС</x:v>
      </x:c>
      <x:c r="B826" s="16" t="str">
        <x:v>2000545992-U111</x:v>
      </x:c>
      <x:c r="C826" s="16" t="str">
        <x:v>ТРУБА 12Х1МФ 426*18 ТУ14-3Р-55-01</x:v>
      </x:c>
      <x:c r="D826" s="16" t="str">
        <x:v>Трубы котельные высокого давления</x:v>
      </x:c>
      <x:c r="E826" s="16" t="str">
        <x:v>Т</x:v>
      </x:c>
      <x:c r="F826" s="30" t="n">
        <x:v>0.096</x:v>
      </x:c>
      <x:c r="G826" s="17" t="n">
        <x:v>218910.15099999998</x:v>
      </x:c>
      <x:c r="H826" s="17" t="n">
        <x:f>G826*F826</x:f>
        <x:v>21015.374496</x:v>
      </x:c>
      <x:c r="I826" s="22" t="str">
        <x:f>HYPERLINK("https://etp-aktiv.ru/catalog/materialy/truby-stalnye-i-polimernye/2000545992-U111/","Открыть позицию")</x:f>
        <x:v>Открыть позицию</x:v>
      </x:c>
    </x:row>
    <x:row r="827" ht="28" customHeight="1">
      <x:c r="A827" s="16" t="str">
        <x:v>Томь-Усинская ГРЭС</x:v>
      </x:c>
      <x:c r="B827" s="16" t="str">
        <x:v>2000561374-U111</x:v>
      </x:c>
      <x:c r="C827" s="16" t="str">
        <x:v>ТРУБА 12Х1МФ Г 325*42 ТУ14-3Р-55-01</x:v>
      </x:c>
      <x:c r="D827" s="16" t="str">
        <x:v>Трубы котельные высокого давления</x:v>
      </x:c>
      <x:c r="E827" s="16" t="str">
        <x:v>Т</x:v>
      </x:c>
      <x:c r="F827" s="29" t="n">
        <x:v>1.065</x:v>
      </x:c>
      <x:c r="G827" s="17" t="n">
        <x:v>167500.998</x:v>
      </x:c>
      <x:c r="H827" s="17" t="n">
        <x:f>G827*F827</x:f>
        <x:v>178388.56287</x:v>
      </x:c>
      <x:c r="I827" s="22" t="str">
        <x:f>HYPERLINK("https://etp-aktiv.ru/catalog/materialy/truby-stalnye-i-polimernye/2000561374-U111/","Открыть позицию")</x:f>
        <x:v>Открыть позицию</x:v>
      </x:c>
    </x:row>
    <x:row r="828" ht="28" customHeight="1">
      <x:c r="A828" s="16" t="str">
        <x:v>Томь-Усинская ГРЭС</x:v>
      </x:c>
      <x:c r="B828" s="16" t="str">
        <x:v>2000918029-U111</x:v>
      </x:c>
      <x:c r="C828" s="16" t="str">
        <x:v>ТРУБА 15ГС Г 76*8 ТУ14-3Р-55-01</x:v>
      </x:c>
      <x:c r="D828" s="16" t="str">
        <x:v>Трубы котельные высокого давления</x:v>
      </x:c>
      <x:c r="E828" s="16" t="str">
        <x:v>Т</x:v>
      </x:c>
      <x:c r="F828" s="30" t="n">
        <x:v>0.053</x:v>
      </x:c>
      <x:c r="G828" s="17" t="n">
        <x:v>349987.5</x:v>
      </x:c>
      <x:c r="H828" s="17" t="n">
        <x:f>G828*F828</x:f>
        <x:v>18549.337499999998</x:v>
      </x:c>
      <x:c r="I828" s="22" t="str">
        <x:f>HYPERLINK("https://etp-aktiv.ru/catalog/materialy/truby-stalnye-i-polimernye/2000918029-U111/","Открыть позицию")</x:f>
        <x:v>Открыть позицию</x:v>
      </x:c>
    </x:row>
    <x:row r="829" ht="28" customHeight="1">
      <x:c r="A829" s="16" t="str">
        <x:v>Томь-Усинская ГРЭС</x:v>
      </x:c>
      <x:c r="B829" s="16" t="str">
        <x:v>2000570106-U111</x:v>
      </x:c>
      <x:c r="C829" s="16" t="str">
        <x:v>ТРУБА 17Г1С-У 920*10 ГОСТ10706-76</x:v>
      </x:c>
      <x:c r="D829" s="16" t="str">
        <x:v>Трубы черные сварные большого диаметра</x:v>
      </x:c>
      <x:c r="E829" s="16" t="str">
        <x:v>Т</x:v>
      </x:c>
      <x:c r="F829" s="29" t="n">
        <x:v>5.387</x:v>
      </x:c>
      <x:c r="G829" s="17" t="n">
        <x:v>84180</x:v>
      </x:c>
      <x:c r="H829" s="17" t="n">
        <x:f>G829*F829</x:f>
        <x:v>453477.66</x:v>
      </x:c>
      <x:c r="I829" s="22" t="str">
        <x:f>HYPERLINK("https://etp-aktiv.ru/catalog/materialy/truby-stalnye-i-polimernye/2000570106-U111/","Открыть позицию")</x:f>
        <x:v>Открыть позицию</x:v>
      </x:c>
    </x:row>
    <x:row r="830" ht="28" customHeight="1">
      <x:c r="A830" s="16" t="str">
        <x:v>Томь-Усинская ГРЭС</x:v>
      </x:c>
      <x:c r="B830" s="16" t="str">
        <x:v>2000546152-U111</x:v>
      </x:c>
      <x:c r="C830" s="16" t="str">
        <x:v>ТРУБА КВД 12Х18Н10Т 48*3 ТУ14-3Р-55-01</x:v>
      </x:c>
      <x:c r="D830" s="16" t="str">
        <x:v>Трубы котельные высокого давления</x:v>
      </x:c>
      <x:c r="E830" s="16" t="str">
        <x:v>Т</x:v>
      </x:c>
      <x:c r="F830" s="30" t="n">
        <x:v>0.039</x:v>
      </x:c>
      <x:c r="G830" s="17" t="n">
        <x:v>495624.9512</x:v>
      </x:c>
      <x:c r="H830" s="17" t="n">
        <x:f>G830*F830</x:f>
        <x:v>19329.3730968</x:v>
      </x:c>
      <x:c r="I830" s="22" t="str">
        <x:f>HYPERLINK("https://etp-aktiv.ru/catalog/materialy/truby-stalnye-i-polimernye/2000546152-U111/","Открыть позицию")</x:f>
        <x:v>Открыть позицию</x:v>
      </x:c>
    </x:row>
    <x:row r="831" ht="28" customHeight="1">
      <x:c r="A831" s="16" t="str">
        <x:v>Томь-Усинская ГРЭС</x:v>
      </x:c>
      <x:c r="B831" s="16" t="str">
        <x:v>2000546264-U111</x:v>
      </x:c>
      <x:c r="C831" s="16" t="str">
        <x:v>ТРУБА КВД 12Х1МФ 38*4 ТУ14-3Р-55-01</x:v>
      </x:c>
      <x:c r="D831" s="16" t="str">
        <x:v>Трубы котельные высокого давления</x:v>
      </x:c>
      <x:c r="E831" s="16" t="str">
        <x:v>Т</x:v>
      </x:c>
      <x:c r="F831" s="30" t="n">
        <x:v>0.784</x:v>
      </x:c>
      <x:c r="G831" s="17" t="n">
        <x:v>361425</x:v>
      </x:c>
      <x:c r="H831" s="17" t="n">
        <x:f>G831*F831</x:f>
        <x:v>283357.2</x:v>
      </x:c>
      <x:c r="I831" s="22" t="str">
        <x:f>HYPERLINK("https://etp-aktiv.ru/catalog/materialy/truby-stalnye-i-polimernye/2000546264-U111/","Открыть позицию")</x:f>
        <x:v>Открыть позицию</x:v>
      </x:c>
    </x:row>
    <x:row r="832" ht="28" customHeight="1">
      <x:c r="A832" s="16" t="str">
        <x:v>Томь-Усинская ГРЭС</x:v>
      </x:c>
      <x:c r="B832" s="16" t="str">
        <x:v>2000546218-U111</x:v>
      </x:c>
      <x:c r="C832" s="16" t="str">
        <x:v>ТРУБА КВД СТ20 219*26 ТУ14-3Р-55-01</x:v>
      </x:c>
      <x:c r="D832" s="16" t="str">
        <x:v>Трубы котельные высокого давления</x:v>
      </x:c>
      <x:c r="E832" s="16" t="str">
        <x:v>Т</x:v>
      </x:c>
      <x:c r="F832" s="30" t="n">
        <x:v>0.575</x:v>
      </x:c>
      <x:c r="G832" s="17" t="n">
        <x:v>191204.07299999997</x:v>
      </x:c>
      <x:c r="H832" s="17" t="n">
        <x:f>G832*F832</x:f>
        <x:v>109942.34197499997</x:v>
      </x:c>
      <x:c r="I832" s="22" t="str">
        <x:f>HYPERLINK("https://etp-aktiv.ru/catalog/materialy/truby-stalnye-i-polimernye/2000546218-U111/","Открыть позицию")</x:f>
        <x:v>Открыть позицию</x:v>
      </x:c>
    </x:row>
    <x:row r="833" ht="28" customHeight="1">
      <x:c r="A833" s="16" t="str">
        <x:v>Томь-Усинская ГРЭС</x:v>
      </x:c>
      <x:c r="B833" s="16" t="str">
        <x:v>2000546229-U111</x:v>
      </x:c>
      <x:c r="C833" s="16" t="str">
        <x:v>ТРУБА КВД СТ20 273*30 ТУ14-3Р-55-01</x:v>
      </x:c>
      <x:c r="D833" s="16" t="str">
        <x:v>Трубы котельные высокого давления</x:v>
      </x:c>
      <x:c r="E833" s="16" t="str">
        <x:v>Т</x:v>
      </x:c>
      <x:c r="F833" s="29" t="n">
        <x:v>1.435</x:v>
      </x:c>
      <x:c r="G833" s="17" t="n">
        <x:v>161858.437</x:v>
      </x:c>
      <x:c r="H833" s="17" t="n">
        <x:f>G833*F833</x:f>
        <x:v>232266.857095</x:v>
      </x:c>
      <x:c r="I833" s="22" t="str">
        <x:f>HYPERLINK("https://etp-aktiv.ru/catalog/materialy/truby-stalnye-i-polimernye/2000546229-U111/","Открыть позицию")</x:f>
        <x:v>Открыть позицию</x:v>
      </x:c>
    </x:row>
    <x:row r="834" ht="28" customHeight="1">
      <x:c r="A834" s="16" t="str">
        <x:v>Томь-Усинская ГРЭС</x:v>
      </x:c>
      <x:c r="B834" s="16" t="str">
        <x:v>2000546173-U111</x:v>
      </x:c>
      <x:c r="C834" s="16" t="str">
        <x:v>ТРУБА КВД СТ20 377*38 ТУ14-3Р-55-01</x:v>
      </x:c>
      <x:c r="D834" s="16" t="str">
        <x:v>Трубы котельные высокого давления</x:v>
      </x:c>
      <x:c r="E834" s="16" t="str">
        <x:v>Т</x:v>
      </x:c>
      <x:c r="F834" s="30" t="n">
        <x:v>0.812</x:v>
      </x:c>
      <x:c r="G834" s="17" t="n">
        <x:v>147772.5</x:v>
      </x:c>
      <x:c r="H834" s="17" t="n">
        <x:f>G834*F834</x:f>
        <x:v>119991.27</x:v>
      </x:c>
      <x:c r="I834" s="22" t="str">
        <x:f>HYPERLINK("https://etp-aktiv.ru/catalog/materialy/truby-stalnye-i-polimernye/2000546173-U111/","Открыть позицию")</x:f>
        <x:v>Открыть позицию</x:v>
      </x:c>
    </x:row>
    <x:row r="835" ht="28" customHeight="1">
      <x:c r="A835" s="16" t="str">
        <x:v>Томь-Усинская ГРЭС</x:v>
      </x:c>
      <x:c r="B835" s="16" t="str">
        <x:v>2000174332-U111</x:v>
      </x:c>
      <x:c r="C835" s="16" t="str">
        <x:v>ТРУБА СТ20 133*10 ГОСТ8732-78</x:v>
      </x:c>
      <x:c r="D835" s="16" t="str">
        <x:v>Трубы черные бесшовные</x:v>
      </x:c>
      <x:c r="E835" s="16" t="str">
        <x:v>Т</x:v>
      </x:c>
      <x:c r="F835" s="29" t="n">
        <x:v>20.207</x:v>
      </x:c>
      <x:c r="G835" s="17" t="n">
        <x:v>106647.11739999999</x:v>
      </x:c>
      <x:c r="H835" s="17" t="n">
        <x:f>G835*F835</x:f>
        <x:v>2155018.3013017997</x:v>
      </x:c>
      <x:c r="I835" s="22" t="str">
        <x:f>HYPERLINK("https://etp-aktiv.ru/catalog/materialy/truby-stalnye-i-polimernye/2000174332-U111/","Открыть позицию")</x:f>
        <x:v>Открыть позицию</x:v>
      </x:c>
    </x:row>
    <x:row r="836" ht="28" customHeight="1">
      <x:c r="A836" s="16" t="str">
        <x:v>Томь-Усинская ГРЭС</x:v>
      </x:c>
      <x:c r="B836" s="16" t="str">
        <x:v>2000557803-U111</x:v>
      </x:c>
      <x:c r="C836" s="16" t="str">
        <x:v>ТРУБА СТ20 133*6 ГОСТ8731-74</x:v>
      </x:c>
      <x:c r="D836" s="16" t="str">
        <x:v>Трубы черные бесшовные</x:v>
      </x:c>
      <x:c r="E836" s="16" t="str">
        <x:v>Т</x:v>
      </x:c>
      <x:c r="F836" s="30" t="n">
        <x:v>0.051</x:v>
      </x:c>
      <x:c r="G836" s="17" t="n">
        <x:v>116929.41159999999</x:v>
      </x:c>
      <x:c r="H836" s="17" t="n">
        <x:f>G836*F836</x:f>
        <x:v>5963.399991599999</x:v>
      </x:c>
      <x:c r="I836" s="22" t="str">
        <x:f>HYPERLINK("https://etp-aktiv.ru/catalog/materialy/truby-stalnye-i-polimernye/2000557803-U111/","Открыть позицию")</x:f>
        <x:v>Открыть позицию</x:v>
      </x:c>
    </x:row>
    <x:row r="837" ht="28" customHeight="1">
      <x:c r="A837" s="16" t="str">
        <x:v>Томь-Усинская ГРЭС</x:v>
      </x:c>
      <x:c r="B837" s="16" t="str">
        <x:v>2000560164-U111</x:v>
      </x:c>
      <x:c r="C837" s="16" t="str">
        <x:v>ТРУБА СТ20 180*10 ГОСТ8731-74</x:v>
      </x:c>
      <x:c r="D837" s="16" t="str">
        <x:v>Трубы черные бесшовные</x:v>
      </x:c>
      <x:c r="E837" s="16" t="str">
        <x:v>Т</x:v>
      </x:c>
      <x:c r="F837" s="30" t="n">
        <x:v>0.703</x:v>
      </x:c>
      <x:c r="G837" s="17" t="n">
        <x:v>145246.3192</x:v>
      </x:c>
      <x:c r="H837" s="17" t="n">
        <x:f>G837*F837</x:f>
        <x:v>102108.1623976</x:v>
      </x:c>
      <x:c r="I837" s="22" t="str">
        <x:f>HYPERLINK("https://etp-aktiv.ru/catalog/materialy/truby-stalnye-i-polimernye/2000560164-U111/","Открыть позицию")</x:f>
        <x:v>Открыть позицию</x:v>
      </x:c>
    </x:row>
    <x:row r="838" ht="28" customHeight="1">
      <x:c r="A838" s="16" t="str">
        <x:v>Томь-Усинская ГРЭС</x:v>
      </x:c>
      <x:c r="B838" s="16" t="str">
        <x:v>2000996934-U111</x:v>
      </x:c>
      <x:c r="C838" s="16" t="str">
        <x:v>ТРУБА СТ20 219*4 ГОСТ10705-80</x:v>
      </x:c>
      <x:c r="D838" s="16" t="str">
        <x:v>@Трубы прочие</x:v>
      </x:c>
      <x:c r="E838" s="16" t="str">
        <x:v>Т</x:v>
      </x:c>
      <x:c r="F838" s="30" t="n">
        <x:v>0.981</x:v>
      </x:c>
      <x:c r="G838" s="17" t="n">
        <x:v>67100</x:v>
      </x:c>
      <x:c r="H838" s="17" t="n">
        <x:f>G838*F838</x:f>
        <x:v>65825.1</x:v>
      </x:c>
      <x:c r="I838" s="22" t="str">
        <x:f>HYPERLINK("https://etp-aktiv.ru/catalog/materialy/truby-stalnye-i-polimernye/2000996934-U111/","Открыть позицию")</x:f>
        <x:v>Открыть позицию</x:v>
      </x:c>
    </x:row>
    <x:row r="839" ht="28" customHeight="1">
      <x:c r="A839" s="16" t="str">
        <x:v>Томь-Усинская ГРЭС</x:v>
      </x:c>
      <x:c r="B839" s="16" t="str">
        <x:v>2000546099-U111</x:v>
      </x:c>
      <x:c r="C839" s="16" t="str">
        <x:v>ТРУБА СТ20 273*26 ТУ14-3Р-55-01</x:v>
      </x:c>
      <x:c r="D839" s="16" t="str">
        <x:v>Трубы котельные высокого давления</x:v>
      </x:c>
      <x:c r="E839" s="16" t="str">
        <x:v>Т</x:v>
      </x:c>
      <x:c r="F839" s="29" t="n">
        <x:v>1.882</x:v>
      </x:c>
      <x:c r="G839" s="17" t="n">
        <x:v>224376.58060000002</x:v>
      </x:c>
      <x:c r="H839" s="17" t="n">
        <x:f>G839*F839</x:f>
        <x:v>422276.7246892</x:v>
      </x:c>
      <x:c r="I839" s="22" t="str">
        <x:f>HYPERLINK("https://etp-aktiv.ru/catalog/materialy/truby-stalnye-i-polimernye/2000546099-U111/","Открыть позицию")</x:f>
        <x:v>Открыть позицию</x:v>
      </x:c>
    </x:row>
    <x:row r="840" ht="28" customHeight="1">
      <x:c r="A840" s="16" t="str">
        <x:v>Томь-Усинская ГРЭС</x:v>
      </x:c>
      <x:c r="B840" s="16" t="str">
        <x:v>2000560600-U111</x:v>
      </x:c>
      <x:c r="C840" s="16" t="str">
        <x:v>ТРУБА СТ20 630*8 ГОСТ20295-85</x:v>
      </x:c>
      <x:c r="D840" s="16" t="str">
        <x:v>Трубы черные сварные большого диаметра</x:v>
      </x:c>
      <x:c r="E840" s="16" t="str">
        <x:v>Т</x:v>
      </x:c>
      <x:c r="F840" s="29" t="n">
        <x:v>2.242</x:v>
      </x:c>
      <x:c r="G840" s="17" t="n">
        <x:v>73647.33739999999</x:v>
      </x:c>
      <x:c r="H840" s="17" t="n">
        <x:f>G840*F840</x:f>
        <x:v>165117.3304508</x:v>
      </x:c>
      <x:c r="I840" s="22" t="str">
        <x:f>HYPERLINK("https://etp-aktiv.ru/catalog/materialy/truby-stalnye-i-polimernye/2000560600-U111/","Открыть позицию")</x:f>
        <x:v>Открыть позицию</x:v>
      </x:c>
    </x:row>
    <x:row r="841" ht="28" customHeight="1">
      <x:c r="A841" s="16" t="str">
        <x:v>Томь-Усинская ГРЭС</x:v>
      </x:c>
      <x:c r="B841" s="16" t="str">
        <x:v>2000225182-U111</x:v>
      </x:c>
      <x:c r="C841" s="16" t="str">
        <x:v>ТРУБА СТ20 76*10 ТУ14-3Р-55-2001</x:v>
      </x:c>
      <x:c r="D841" s="16" t="str">
        <x:v>Трубы котельные высокого давления</x:v>
      </x:c>
      <x:c r="E841" s="16" t="str">
        <x:v>Т</x:v>
      </x:c>
      <x:c r="F841" s="30" t="n">
        <x:v>0.311</x:v>
      </x:c>
      <x:c r="G841" s="17" t="n">
        <x:v>149234.68219999998</x:v>
      </x:c>
      <x:c r="H841" s="17" t="n">
        <x:f>G841*F841</x:f>
        <x:v>46411.986164199996</x:v>
      </x:c>
      <x:c r="I841" s="22" t="str">
        <x:f>HYPERLINK("https://etp-aktiv.ru/catalog/materialy/truby-stalnye-i-polimernye/2000225182-U111/","Открыть позицию")</x:f>
        <x:v>Открыть позицию</x:v>
      </x:c>
    </x:row>
    <x:row r="842" ht="28" customHeight="1">
      <x:c r="A842" s="16" t="str">
        <x:v>Томь-Усинская ГРЭС</x:v>
      </x:c>
      <x:c r="B842" s="16" t="str">
        <x:v>2000560291-U111</x:v>
      </x:c>
      <x:c r="C842" s="16" t="str">
        <x:v>ТРУБА СТ20 76*12 ГОСТ8731-74</x:v>
      </x:c>
      <x:c r="D842" s="16" t="str">
        <x:v>Трубы черные бесшовные</x:v>
      </x:c>
      <x:c r="E842" s="16" t="str">
        <x:v>Т</x:v>
      </x:c>
      <x:c r="F842" s="30" t="n">
        <x:v>0.578</x:v>
      </x:c>
      <x:c r="G842" s="17" t="n">
        <x:v>94550</x:v>
      </x:c>
      <x:c r="H842" s="17" t="n">
        <x:f>G842*F842</x:f>
        <x:v>54649.899999999994</x:v>
      </x:c>
      <x:c r="I842" s="22" t="str">
        <x:f>HYPERLINK("https://etp-aktiv.ru/catalog/materialy/truby-stalnye-i-polimernye/2000560291-U111/","Открыть позицию")</x:f>
        <x:v>Открыть позицию</x:v>
      </x:c>
    </x:row>
    <x:row r="843" ht="28" customHeight="1">
      <x:c r="A843" s="16" t="str">
        <x:v>Томь-Усинская ГРЭС</x:v>
      </x:c>
      <x:c r="B843" s="16" t="str">
        <x:v>2000560300-U111</x:v>
      </x:c>
      <x:c r="C843" s="16" t="str">
        <x:v>ТРУБА СТ20 76*8 ГОСТ8731-74</x:v>
      </x:c>
      <x:c r="D843" s="16" t="str">
        <x:v>Трубы черные бесшовные</x:v>
      </x:c>
      <x:c r="E843" s="16" t="str">
        <x:v>Т</x:v>
      </x:c>
      <x:c r="F843" s="30" t="n">
        <x:v>0.735</x:v>
      </x:c>
      <x:c r="G843" s="17" t="n">
        <x:v>63193.145200000006</x:v>
      </x:c>
      <x:c r="H843" s="17" t="n">
        <x:f>G843*F843</x:f>
        <x:v>46446.96172200001</x:v>
      </x:c>
      <x:c r="I843" s="22" t="str">
        <x:f>HYPERLINK("https://etp-aktiv.ru/catalog/materialy/truby-stalnye-i-polimernye/2000560300-U111/","Открыть позицию")</x:f>
        <x:v>Открыть позицию</x:v>
      </x:c>
    </x:row>
    <x:row r="844" ht="28" customHeight="1">
      <x:c r="A844" s="16" t="str">
        <x:v>Томь-Усинская ГРЭС</x:v>
      </x:c>
      <x:c r="B844" s="16" t="str">
        <x:v>2000560617-U111</x:v>
      </x:c>
      <x:c r="C844" s="16" t="str">
        <x:v>ТРУБА СТ3СП3 920*10 ГОСТ10706-76</x:v>
      </x:c>
      <x:c r="D844" s="16" t="str">
        <x:v>Трубы черные сварные большого диаметра</x:v>
      </x:c>
      <x:c r="E844" s="16" t="str">
        <x:v>Т</x:v>
      </x:c>
      <x:c r="F844" s="21" t="n">
        <x:v>0</x:v>
      </x:c>
      <x:c r="G844" s="17" t="n">
        <x:v>31435.618000000002</x:v>
      </x:c>
      <x:c r="H844" s="17" t="n">
        <x:f>G844*F844</x:f>
        <x:v>0</x:v>
      </x:c>
      <x:c r="I844" s="22" t="str">
        <x:f>HYPERLINK("https://etp-aktiv.ru/catalog/materialy/truby-stalnye-i-polimernye/2000560617-U111/","Открыть позицию")</x:f>
        <x:v>Открыть позицию</x:v>
      </x:c>
    </x:row>
    <x:row r="845" ht="28" customHeight="1">
      <x:c r="A845" s="16" t="str">
        <x:v>Томь-Усинская ГРЭС</x:v>
      </x:c>
      <x:c r="B845" s="16" t="str">
        <x:v>2000358391-U111</x:v>
      </x:c>
      <x:c r="C845" s="16" t="str">
        <x:v>ТРУБА Э/С СТ3 1020*10 ГОСТ10706-76</x:v>
      </x:c>
      <x:c r="D845" s="16" t="str">
        <x:v>Трубы черные сварные большого диаметра</x:v>
      </x:c>
      <x:c r="E845" s="16" t="str">
        <x:v>Т</x:v>
      </x:c>
      <x:c r="F845" s="30" t="n">
        <x:v>0.348</x:v>
      </x:c>
      <x:c r="G845" s="17" t="n">
        <x:v>67100</x:v>
      </x:c>
      <x:c r="H845" s="17" t="n">
        <x:f>G845*F845</x:f>
        <x:v>23350.8</x:v>
      </x:c>
      <x:c r="I845" s="22" t="str">
        <x:f>HYPERLINK("https://etp-aktiv.ru/catalog/materialy/truby-stalnye-i-polimernye/2000358391-U111/","Открыть позицию")</x:f>
        <x:v>Открыть позицию</x:v>
      </x:c>
    </x:row>
    <x:row r="846" ht="28" customHeight="1">
      <x:c r="A846" s="16" t="str">
        <x:v>Томь-Усинская ГРЭС</x:v>
      </x:c>
      <x:c r="B846" s="16" t="str">
        <x:v>2000570323-U111</x:v>
      </x:c>
      <x:c r="C846" s="16" t="str">
        <x:v>ТРУБКА КВАРЦЕВАЯ 16*2*2000 ОСТ2142-90</x:v>
      </x:c>
      <x:c r="D846" s="16" t="str">
        <x:v>Химическая посуда</x:v>
      </x:c>
      <x:c r="E846" s="16" t="str">
        <x:v>ШТ</x:v>
      </x:c>
      <x:c r="F846" s="21" t="n">
        <x:v>15</x:v>
      </x:c>
      <x:c r="G846" s="17" t="n">
        <x:v>1120.875</x:v>
      </x:c>
      <x:c r="H846" s="17" t="n">
        <x:f>G846*F846</x:f>
        <x:v>16813.125</x:v>
      </x:c>
      <x:c r="I846" s="22" t="str">
        <x:f>HYPERLINK("https://etp-aktiv.ru/catalog/materialy/mebel-i-bytovaya-tekhnika/2000570323-U111/","Открыть позицию")</x:f>
        <x:v>Открыть позицию</x:v>
      </x:c>
    </x:row>
    <x:row r="847" ht="28" customHeight="1">
      <x:c r="A847" s="16" t="str">
        <x:v>Томь-Усинская ГРЭС</x:v>
      </x:c>
      <x:c r="B847" s="16" t="str">
        <x:v>2000548668-U111</x:v>
      </x:c>
      <x:c r="C847" s="16" t="str">
        <x:v>ТРУБКА ПВХ 305 ТВ-40 10ММ БЕЛ ГОСТ19034</x:v>
      </x:c>
      <x:c r="D847" s="16" t="str">
        <x:v>Электроизоляционные материалы</x:v>
      </x:c>
      <x:c r="E847" s="16" t="str">
        <x:v>КГ</x:v>
      </x:c>
      <x:c r="F847" s="29" t="n">
        <x:v>4.6</x:v>
      </x:c>
      <x:c r="G847" s="17" t="n">
        <x:v>169.29940000000002</x:v>
      </x:c>
      <x:c r="H847" s="17" t="n">
        <x:f>G847*F847</x:f>
        <x:v>778.77724</x:v>
      </x:c>
      <x:c r="I847" s="22" t="str">
        <x:f>HYPERLINK("https://etp-aktiv.ru/catalog/materialy/ehlektroizolyacionnye-materialy/2000548668-U111/","Открыть позицию")</x:f>
        <x:v>Открыть позицию</x:v>
      </x:c>
    </x:row>
    <x:row r="848" ht="28" customHeight="1">
      <x:c r="A848" s="16" t="str">
        <x:v>Томь-Усинская ГРЭС</x:v>
      </x:c>
      <x:c r="B848" s="16" t="str">
        <x:v>2000551670-U111</x:v>
      </x:c>
      <x:c r="C848" s="16" t="str">
        <x:v>ХОМУТ СИЛОВОЙ GBS M 29-31/18 SK</x:v>
      </x:c>
      <x:c r="D848" s="16" t="str">
        <x:v>Линейно-подвесная арматура</x:v>
      </x:c>
      <x:c r="E848" s="16" t="str">
        <x:v>ШТ</x:v>
      </x:c>
      <x:c r="F848" s="21" t="n">
        <x:v>10</x:v>
      </x:c>
      <x:c r="G848" s="17" t="n">
        <x:v>38.43</x:v>
      </x:c>
      <x:c r="H848" s="17" t="n">
        <x:f>G848*F848</x:f>
        <x:v>384.3</x:v>
      </x:c>
      <x:c r="I848" s="22" t="str">
        <x:f>HYPERLINK("https://etp-aktiv.ru/catalog/materialy/ehlektrotekhnicheskie-materialy/2000551670-U111/","Открыть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6cb8769e5f9441d4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Металлопрокат, металлоконструкции и сварка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2000019604-U112</x:v>
      </x:c>
      <x:c r="C5" s="16" t="str">
        <x:v>БАЛКА СТ3 12 ГОСТ8239-89</x:v>
      </x:c>
      <x:c r="D5" s="16" t="str">
        <x:v>Металлопрокат черный</x:v>
      </x:c>
      <x:c r="E5" s="16" t="str">
        <x:v>Т</x:v>
      </x:c>
      <x:c r="F5" s="30" t="n">
        <x:v>0.43</x:v>
      </x:c>
      <x:c r="G5" s="17" t="n">
        <x:v>106820.821</x:v>
      </x:c>
      <x:c r="H5" s="17" t="n">
        <x:f>G5*F5</x:f>
        <x:v>45932.95303</x:v>
      </x:c>
      <x:c r="I5" s="22" t="str">
        <x:f>HYPERLINK("https://etp-aktiv.ru/catalog/materialy/metalloprodukciya/2000019604-U112/","Открыть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2000068403-U112</x:v>
      </x:c>
      <x:c r="C6" s="16" t="str">
        <x:v>БОЛТ М12*30 ГОСТ7805-70</x:v>
      </x:c>
      <x:c r="D6" s="16" t="str">
        <x:v>Метизы</x:v>
      </x:c>
      <x:c r="E6" s="16" t="str">
        <x:v>КГ</x:v>
      </x:c>
      <x:c r="F6" s="29" t="n">
        <x:v>5.7</x:v>
      </x:c>
      <x:c r="G6" s="17" t="n">
        <x:v>17.287399999999998</x:v>
      </x:c>
      <x:c r="H6" s="17" t="n">
        <x:f>G6*F6</x:f>
        <x:v>98.53818</x:v>
      </x:c>
      <x:c r="I6" s="22" t="str">
        <x:f>HYPERLINK("https://etp-aktiv.ru/catalog/materialy/metizy/2000068403-U112/","Открыть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2000068404-U112</x:v>
      </x:c>
      <x:c r="C7" s="16" t="str">
        <x:v>БОЛТ М12*35 ГОСТ7805-70</x:v>
      </x:c>
      <x:c r="D7" s="16" t="str">
        <x:v>Метизы</x:v>
      </x:c>
      <x:c r="E7" s="16" t="str">
        <x:v>КГ</x:v>
      </x:c>
      <x:c r="F7" s="29" t="n">
        <x:v>8.4</x:v>
      </x:c>
      <x:c r="G7" s="17" t="n">
        <x:v>22.6188</x:v>
      </x:c>
      <x:c r="H7" s="17" t="n">
        <x:f>G7*F7</x:f>
        <x:v>189.99792000000002</x:v>
      </x:c>
      <x:c r="I7" s="22" t="str">
        <x:f>HYPERLINK("https://etp-aktiv.ru/catalog/materialy/metizy/2000068404-U112/","Открыть позицию")</x:f>
        <x:v>Открыть позицию</x:v>
      </x:c>
    </x:row>
    <x:row r="8" ht="28" customHeight="1">
      <x:c r="A8" s="16" t="str">
        <x:v>Беловская ГРЭС</x:v>
      </x:c>
      <x:c r="B8" s="16" t="str">
        <x:v>2000068272-U112</x:v>
      </x:c>
      <x:c r="C8" s="16" t="str">
        <x:v>БОЛТ М24*120 ГОСТ7805-70</x:v>
      </x:c>
      <x:c r="D8" s="16" t="str">
        <x:v>Метизы</x:v>
      </x:c>
      <x:c r="E8" s="16" t="str">
        <x:v>КГ</x:v>
      </x:c>
      <x:c r="F8" s="21" t="n">
        <x:v>20</x:v>
      </x:c>
      <x:c r="G8" s="17" t="n">
        <x:v>100.955</x:v>
      </x:c>
      <x:c r="H8" s="17" t="n">
        <x:f>G8*F8</x:f>
        <x:v>2019.1</x:v>
      </x:c>
      <x:c r="I8" s="22" t="str">
        <x:f>HYPERLINK("https://etp-aktiv.ru/catalog/materialy/metizy/2000068272-U112/","Открыть позицию")</x:f>
        <x:v>Открыть позицию</x:v>
      </x:c>
    </x:row>
    <x:row r="9" ht="28" customHeight="1">
      <x:c r="A9" s="16" t="str">
        <x:v>Беловская ГРЭС</x:v>
      </x:c>
      <x:c r="B9" s="16" t="str">
        <x:v>2000068378-U112</x:v>
      </x:c>
      <x:c r="C9" s="16" t="str">
        <x:v>БОЛТ М8*60 ГОСТ7805-70</x:v>
      </x:c>
      <x:c r="D9" s="16" t="str">
        <x:v>Метизы</x:v>
      </x:c>
      <x:c r="E9" s="16" t="str">
        <x:v>КГ</x:v>
      </x:c>
      <x:c r="F9" s="21" t="n">
        <x:v>1</x:v>
      </x:c>
      <x:c r="G9" s="17" t="n">
        <x:v>109.6048</x:v>
      </x:c>
      <x:c r="H9" s="17" t="n">
        <x:f>G9*F9</x:f>
        <x:v>109.6048</x:v>
      </x:c>
      <x:c r="I9" s="22" t="str">
        <x:f>HYPERLINK("https://etp-aktiv.ru/catalog/materialy/metizy/2000068378-U112/","Открыть позицию")</x:f>
        <x:v>Открыть позицию</x:v>
      </x:c>
    </x:row>
    <x:row r="10" ht="28" customHeight="1">
      <x:c r="A10" s="16" t="str">
        <x:v>Беловская ГРЭС</x:v>
      </x:c>
      <x:c r="B10" s="16" t="str">
        <x:v>2000530479-U112</x:v>
      </x:c>
      <x:c r="C10" s="16" t="str">
        <x:v>ВИНТ САМОНАРЕЗАЮЩИЙ 4,2*16 ШСММ 01</x:v>
      </x:c>
      <x:c r="D10" s="16" t="str">
        <x:v>Метизы</x:v>
      </x:c>
      <x:c r="E10" s="16" t="str">
        <x:v>КГ</x:v>
      </x:c>
      <x:c r="F10" s="29" t="n">
        <x:v>157.942</x:v>
      </x:c>
      <x:c r="G10" s="17" t="n">
        <x:v>234.7036</x:v>
      </x:c>
      <x:c r="H10" s="17" t="n">
        <x:f>G10*F10</x:f>
        <x:v>37069.5559912</x:v>
      </x:c>
      <x:c r="I10" s="22" t="str">
        <x:f>HYPERLINK("https://etp-aktiv.ru/catalog/materialy/metizy/2000530479-U112/","Открыть позицию")</x:f>
        <x:v>Открыть позицию</x:v>
      </x:c>
    </x:row>
    <x:row r="11" ht="28" customHeight="1">
      <x:c r="A11" s="16" t="str">
        <x:v>Беловская ГРЭС</x:v>
      </x:c>
      <x:c r="B11" s="16" t="str">
        <x:v>2000530068-U112</x:v>
      </x:c>
      <x:c r="C11" s="16" t="str">
        <x:v>ГАЙКА М24 ГОСТ5935-73</x:v>
      </x:c>
      <x:c r="D11" s="16" t="str">
        <x:v>Метизы</x:v>
      </x:c>
      <x:c r="E11" s="16" t="str">
        <x:v>КГ</x:v>
      </x:c>
      <x:c r="F11" s="29" t="n">
        <x:v>8.86</x:v>
      </x:c>
      <x:c r="G11" s="17" t="n">
        <x:v>1633.2749999999999</x:v>
      </x:c>
      <x:c r="H11" s="17" t="n">
        <x:f>G11*F11</x:f>
        <x:v>14470.816499999997</x:v>
      </x:c>
      <x:c r="I11" s="22" t="str">
        <x:f>HYPERLINK("https://etp-aktiv.ru/catalog/materialy/metizy/2000530068-U112/","Открыть позицию")</x:f>
        <x:v>Открыть позицию</x:v>
      </x:c>
    </x:row>
    <x:row r="12" ht="28" customHeight="1">
      <x:c r="A12" s="16" t="str">
        <x:v>Беловская ГРЭС</x:v>
      </x:c>
      <x:c r="B12" s="16" t="str">
        <x:v>2000068538-U112</x:v>
      </x:c>
      <x:c r="C12" s="16" t="str">
        <x:v>ГВОЗДЬ 2*40 ГОСТ4028-63</x:v>
      </x:c>
      <x:c r="D12" s="16" t="str">
        <x:v>Метизы</x:v>
      </x:c>
      <x:c r="E12" s="16" t="str">
        <x:v>КГ</x:v>
      </x:c>
      <x:c r="F12" s="21" t="n">
        <x:v>25</x:v>
      </x:c>
      <x:c r="G12" s="17" t="n">
        <x:v>77.47</x:v>
      </x:c>
      <x:c r="H12" s="17" t="n">
        <x:f>G12*F12</x:f>
        <x:v>1936.75</x:v>
      </x:c>
      <x:c r="I12" s="22" t="str">
        <x:f>HYPERLINK("https://etp-aktiv.ru/catalog/materialy/metizy/2000068538-U112/","Открыть позицию")</x:f>
        <x:v>Открыть позицию</x:v>
      </x:c>
    </x:row>
    <x:row r="13" ht="28" customHeight="1">
      <x:c r="A13" s="16" t="str">
        <x:v>Беловская ГРЭС</x:v>
      </x:c>
      <x:c r="B13" s="16" t="str">
        <x:v>2000068543-U112</x:v>
      </x:c>
      <x:c r="C13" s="16" t="str">
        <x:v>ГВОЗДЬ 3*80 ГОСТ4028-63</x:v>
      </x:c>
      <x:c r="D13" s="16" t="str">
        <x:v>Метизы</x:v>
      </x:c>
      <x:c r="E13" s="16" t="str">
        <x:v>КГ</x:v>
      </x:c>
      <x:c r="F13" s="21" t="n">
        <x:v>32</x:v>
      </x:c>
      <x:c r="G13" s="17" t="n">
        <x:v>88.6574</x:v>
      </x:c>
      <x:c r="H13" s="17" t="n">
        <x:f>G13*F13</x:f>
        <x:v>2837.0368</x:v>
      </x:c>
      <x:c r="I13" s="22" t="str">
        <x:f>HYPERLINK("https://etp-aktiv.ru/catalog/materialy/metizy/2000068543-U112/","Открыть позицию")</x:f>
        <x:v>Открыть позицию</x:v>
      </x:c>
    </x:row>
    <x:row r="14" ht="28" customHeight="1">
      <x:c r="A14" s="16" t="str">
        <x:v>Беловская ГРЭС</x:v>
      </x:c>
      <x:c r="B14" s="16" t="str">
        <x:v>2000353923-U112</x:v>
      </x:c>
      <x:c r="C14" s="16" t="str">
        <x:v>ГВОЗДЬ 3,5*40 ГОСТ4028-63</x:v>
      </x:c>
      <x:c r="D14" s="16" t="str">
        <x:v>Метизы</x:v>
      </x:c>
      <x:c r="E14" s="16" t="str">
        <x:v>КГ</x:v>
      </x:c>
      <x:c r="F14" s="21" t="n">
        <x:v>5</x:v>
      </x:c>
      <x:c r="G14" s="17" t="n">
        <x:v>98.0026</x:v>
      </x:c>
      <x:c r="H14" s="17" t="n">
        <x:f>G14*F14</x:f>
        <x:v>490.01300000000003</x:v>
      </x:c>
      <x:c r="I14" s="22" t="str">
        <x:f>HYPERLINK("https://etp-aktiv.ru/catalog/materialy/metizy/2000353923-U112/","Открыть позицию")</x:f>
        <x:v>Открыть позицию</x:v>
      </x:c>
    </x:row>
    <x:row r="15" ht="28" customHeight="1">
      <x:c r="A15" s="16" t="str">
        <x:v>Беловская ГРЭС</x:v>
      </x:c>
      <x:c r="B15" s="16" t="str">
        <x:v>2000530093-U112</x:v>
      </x:c>
      <x:c r="C15" s="16" t="str">
        <x:v>ГВОЗДЬ КРОВЕЛЬНЫЙ 3,5*40 ГОСТ4030-63</x:v>
      </x:c>
      <x:c r="D15" s="16" t="str">
        <x:v>Метизы</x:v>
      </x:c>
      <x:c r="E15" s="16" t="str">
        <x:v>КГ</x:v>
      </x:c>
      <x:c r="F15" s="29" t="n">
        <x:v>7.8</x:v>
      </x:c>
      <x:c r="G15" s="17" t="n">
        <x:v>228.384</x:v>
      </x:c>
      <x:c r="H15" s="17" t="n">
        <x:f>G15*F15</x:f>
        <x:v>1781.3952</x:v>
      </x:c>
      <x:c r="I15" s="22" t="str">
        <x:f>HYPERLINK("https://etp-aktiv.ru/catalog/materialy/metizy/2000530093-U112/","Открыть позицию")</x:f>
        <x:v>Открыть позицию</x:v>
      </x:c>
    </x:row>
    <x:row r="16" ht="28" customHeight="1">
      <x:c r="A16" s="16" t="str">
        <x:v>Беловская ГРЭС</x:v>
      </x:c>
      <x:c r="B16" s="16" t="str">
        <x:v>2000028667-U112</x:v>
      </x:c>
      <x:c r="C16" s="16" t="str">
        <x:v>КРУГ 12Х18Н10Т D10ММ ГОСТ5949-75</x:v>
      </x:c>
      <x:c r="D16" s="16" t="str">
        <x:v>Металлопрокат из нержавеющей стали</x:v>
      </x:c>
      <x:c r="E16" s="16" t="str">
        <x:v>Т</x:v>
      </x:c>
      <x:c r="F16" s="30" t="n">
        <x:v>0.001</x:v>
      </x:c>
      <x:c r="G16" s="17" t="n">
        <x:v>356831.8586</x:v>
      </x:c>
      <x:c r="H16" s="17" t="n">
        <x:f>G16*F16</x:f>
        <x:v>356.8318586</x:v>
      </x:c>
      <x:c r="I16" s="22" t="str">
        <x:f>HYPERLINK("https://etp-aktiv.ru/catalog/materialy/metalloprodukciya/2000028667-U112/","Открыть позицию")</x:f>
        <x:v>Открыть позицию</x:v>
      </x:c>
    </x:row>
    <x:row r="17" ht="28" customHeight="1">
      <x:c r="A17" s="16" t="str">
        <x:v>Беловская ГРЭС</x:v>
      </x:c>
      <x:c r="B17" s="16" t="str">
        <x:v>2000135175-U112</x:v>
      </x:c>
      <x:c r="C17" s="16" t="str">
        <x:v>КРУГ 3СП D60 Н/Д ГОСТ535-2005</x:v>
      </x:c>
      <x:c r="D17" s="16" t="str">
        <x:v>Металлопрокат черный</x:v>
      </x:c>
      <x:c r="E17" s="16" t="str">
        <x:v>Т</x:v>
      </x:c>
      <x:c r="F17" s="30" t="n">
        <x:v>0.138</x:v>
      </x:c>
      <x:c r="G17" s="17" t="n">
        <x:v>64050</x:v>
      </x:c>
      <x:c r="H17" s="17" t="n">
        <x:f>G17*F17</x:f>
        <x:v>8838.900000000001</x:v>
      </x:c>
      <x:c r="I17" s="22" t="str">
        <x:f>HYPERLINK("https://etp-aktiv.ru/catalog/materialy/metalloprodukciya/2000135175-U112/","Открыть позицию")</x:f>
        <x:v>Открыть позицию</x:v>
      </x:c>
    </x:row>
    <x:row r="18" ht="28" customHeight="1">
      <x:c r="A18" s="16" t="str">
        <x:v>Беловская ГРЭС</x:v>
      </x:c>
      <x:c r="B18" s="16" t="str">
        <x:v>2000504558-U112</x:v>
      </x:c>
      <x:c r="C18" s="16" t="str">
        <x:v>КРУГ СТ20 32ММ ГОСТ2590-2006</x:v>
      </x:c>
      <x:c r="D18" s="16" t="str">
        <x:v>Металлопрокат черный</x:v>
      </x:c>
      <x:c r="E18" s="16" t="str">
        <x:v>Т</x:v>
      </x:c>
      <x:c r="F18" s="30" t="n">
        <x:v>0.007</x:v>
      </x:c>
      <x:c r="G18" s="17" t="n">
        <x:v>56160.0038</x:v>
      </x:c>
      <x:c r="H18" s="17" t="n">
        <x:f>G18*F18</x:f>
        <x:v>393.1200266</x:v>
      </x:c>
      <x:c r="I18" s="22" t="str">
        <x:f>HYPERLINK("https://etp-aktiv.ru/catalog/materialy/metalloprodukciya/2000504558-U112/","Открыть позицию")</x:f>
        <x:v>Открыть позицию</x:v>
      </x:c>
    </x:row>
    <x:row r="19" ht="28" customHeight="1">
      <x:c r="A19" s="16" t="str">
        <x:v>Беловская ГРЭС</x:v>
      </x:c>
      <x:c r="B19" s="16" t="str">
        <x:v>2000245612-U112</x:v>
      </x:c>
      <x:c r="C19" s="16" t="str">
        <x:v>КРУГ СТ20 D210ММ ГОСТ1050-88</x:v>
      </x:c>
      <x:c r="D19" s="16" t="str">
        <x:v>Металлопрокат черный</x:v>
      </x:c>
      <x:c r="E19" s="16" t="str">
        <x:v>Т</x:v>
      </x:c>
      <x:c r="F19" s="29" t="n">
        <x:v>2.556</x:v>
      </x:c>
      <x:c r="G19" s="17" t="n">
        <x:v>54930.9026</x:v>
      </x:c>
      <x:c r="H19" s="17" t="n">
        <x:f>G19*F19</x:f>
        <x:v>140403.38704560001</x:v>
      </x:c>
      <x:c r="I19" s="22" t="str">
        <x:f>HYPERLINK("https://etp-aktiv.ru/catalog/materialy/metalloprodukciya/2000245612-U112/","Открыть позицию")</x:f>
        <x:v>Открыть позицию</x:v>
      </x:c>
    </x:row>
    <x:row r="20" ht="28" customHeight="1">
      <x:c r="A20" s="16" t="str">
        <x:v>Беловская ГРЭС</x:v>
      </x:c>
      <x:c r="B20" s="16" t="str">
        <x:v>2000015312-U112</x:v>
      </x:c>
      <x:c r="C20" s="16" t="str">
        <x:v>КРУГ СТ3 D14ММ ГОСТ2590-2006</x:v>
      </x:c>
      <x:c r="D20" s="16" t="str">
        <x:v>Металлопрокат черный</x:v>
      </x:c>
      <x:c r="E20" s="16" t="str">
        <x:v>Т</x:v>
      </x:c>
      <x:c r="F20" s="30" t="n">
        <x:v>0.028</x:v>
      </x:c>
      <x:c r="G20" s="17" t="n">
        <x:v>115137.39020000001</x:v>
      </x:c>
      <x:c r="H20" s="17" t="n">
        <x:f>G20*F20</x:f>
        <x:v>3223.8469256000003</x:v>
      </x:c>
      <x:c r="I20" s="22" t="str">
        <x:f>HYPERLINK("https://etp-aktiv.ru/catalog/materialy/metalloprodukciya/2000015312-U112/","Открыть позицию")</x:f>
        <x:v>Открыть позицию</x:v>
      </x:c>
    </x:row>
    <x:row r="21" ht="28" customHeight="1">
      <x:c r="A21" s="16" t="str">
        <x:v>Беловская ГРЭС</x:v>
      </x:c>
      <x:c r="B21" s="16" t="str">
        <x:v>2000245611-U112</x:v>
      </x:c>
      <x:c r="C21" s="16" t="str">
        <x:v>КРУГ СТ3 D230ММ ГОСТ2590-2006</x:v>
      </x:c>
      <x:c r="D21" s="16" t="str">
        <x:v>Металлопрокат черный</x:v>
      </x:c>
      <x:c r="E21" s="16" t="str">
        <x:v>Т</x:v>
      </x:c>
      <x:c r="F21" s="30" t="n">
        <x:v>0.326</x:v>
      </x:c>
      <x:c r="G21" s="17" t="n">
        <x:v>55751.6576</x:v>
      </x:c>
      <x:c r="H21" s="17" t="n">
        <x:f>G21*F21</x:f>
        <x:v>18175.0403776</x:v>
      </x:c>
      <x:c r="I21" s="22" t="str">
        <x:f>HYPERLINK("https://etp-aktiv.ru/catalog/materialy/metalloprodukciya/2000245611-U112/","Открыть позицию")</x:f>
        <x:v>Открыть позицию</x:v>
      </x:c>
    </x:row>
    <x:row r="22" ht="28" customHeight="1">
      <x:c r="A22" s="16" t="str">
        <x:v>Беловская ГРЭС</x:v>
      </x:c>
      <x:c r="B22" s="16" t="str">
        <x:v>2000015138-U112</x:v>
      </x:c>
      <x:c r="C22" s="16" t="str">
        <x:v>КРУГ СТ3 D30ММ ГОСТ2590-2006</x:v>
      </x:c>
      <x:c r="D22" s="16" t="str">
        <x:v>Металлопрокат черный</x:v>
      </x:c>
      <x:c r="E22" s="16" t="str">
        <x:v>Т</x:v>
      </x:c>
      <x:c r="F22" s="30" t="n">
        <x:v>0.075</x:v>
      </x:c>
      <x:c r="G22" s="17" t="n">
        <x:v>70198.678</x:v>
      </x:c>
      <x:c r="H22" s="17" t="n">
        <x:f>G22*F22</x:f>
        <x:v>5264.90085</x:v>
      </x:c>
      <x:c r="I22" s="22" t="str">
        <x:f>HYPERLINK("https://etp-aktiv.ru/catalog/materialy/metalloprodukciya/2000015138-U112/","Открыть позицию")</x:f>
        <x:v>Открыть позицию</x:v>
      </x:c>
    </x:row>
    <x:row r="23" ht="28" customHeight="1">
      <x:c r="A23" s="16" t="str">
        <x:v>Беловская ГРЭС</x:v>
      </x:c>
      <x:c r="B23" s="16" t="str">
        <x:v>2000694488-U112</x:v>
      </x:c>
      <x:c r="C23" s="16" t="str">
        <x:v>КРУГ СТ3 D360ММ ГОСТ2590-2006</x:v>
      </x:c>
      <x:c r="D23" s="16" t="str">
        <x:v>Металлопрокат черный</x:v>
      </x:c>
      <x:c r="E23" s="16" t="str">
        <x:v>Т</x:v>
      </x:c>
      <x:c r="F23" s="30" t="n">
        <x:v>0.154</x:v>
      </x:c>
      <x:c r="G23" s="17" t="n">
        <x:v>101107.5</x:v>
      </x:c>
      <x:c r="H23" s="17" t="n">
        <x:f>G23*F23</x:f>
        <x:v>15570.555</x:v>
      </x:c>
      <x:c r="I23" s="22" t="str">
        <x:f>HYPERLINK("https://etp-aktiv.ru/catalog/materialy/metalloprodukciya/2000694488-U112/","Открыть позицию")</x:f>
        <x:v>Открыть позицию</x:v>
      </x:c>
    </x:row>
    <x:row r="24" ht="28" customHeight="1">
      <x:c r="A24" s="16" t="str">
        <x:v>Беловская ГРЭС</x:v>
      </x:c>
      <x:c r="B24" s="16" t="str">
        <x:v>2000014889-U112</x:v>
      </x:c>
      <x:c r="C24" s="16" t="str">
        <x:v>КРУГ СТ3 D36ММ ГОСТ2590-2006</x:v>
      </x:c>
      <x:c r="D24" s="16" t="str">
        <x:v>Металлопрокат черный</x:v>
      </x:c>
      <x:c r="E24" s="16" t="str">
        <x:v>Т</x:v>
      </x:c>
      <x:c r="F24" s="30" t="n">
        <x:v>0.567</x:v>
      </x:c>
      <x:c r="G24" s="17" t="n">
        <x:v>50630</x:v>
      </x:c>
      <x:c r="H24" s="17" t="n">
        <x:f>G24*F24</x:f>
        <x:v>28707.21</x:v>
      </x:c>
      <x:c r="I24" s="22" t="str">
        <x:f>HYPERLINK("https://etp-aktiv.ru/catalog/materialy/metalloprodukciya/2000014889-U112/","Открыть позицию")</x:f>
        <x:v>Открыть позицию</x:v>
      </x:c>
    </x:row>
    <x:row r="25" ht="28" customHeight="1">
      <x:c r="A25" s="16" t="str">
        <x:v>Беловская ГРЭС</x:v>
      </x:c>
      <x:c r="B25" s="16" t="str">
        <x:v>2000014892-U112</x:v>
      </x:c>
      <x:c r="C25" s="16" t="str">
        <x:v>КРУГ СТ3 D50ММ ГОСТ2590-2006</x:v>
      </x:c>
      <x:c r="D25" s="16" t="str">
        <x:v>Металлопрокат черный</x:v>
      </x:c>
      <x:c r="E25" s="16" t="str">
        <x:v>Т</x:v>
      </x:c>
      <x:c r="F25" s="30" t="n">
        <x:v>0.09</x:v>
      </x:c>
      <x:c r="G25" s="17" t="n">
        <x:v>64176.6726</x:v>
      </x:c>
      <x:c r="H25" s="17" t="n">
        <x:f>G25*F25</x:f>
        <x:v>5775.900533999999</x:v>
      </x:c>
      <x:c r="I25" s="22" t="str">
        <x:f>HYPERLINK("https://etp-aktiv.ru/catalog/materialy/metalloprodukciya/2000014892-U112/","Открыть позицию")</x:f>
        <x:v>Открыть позицию</x:v>
      </x:c>
    </x:row>
    <x:row r="26" ht="28" customHeight="1">
      <x:c r="A26" s="16" t="str">
        <x:v>Беловская ГРЭС</x:v>
      </x:c>
      <x:c r="B26" s="16" t="str">
        <x:v>2000014894-U112</x:v>
      </x:c>
      <x:c r="C26" s="16" t="str">
        <x:v>КРУГ СТ3 D60ММ ГОСТ2590-2006</x:v>
      </x:c>
      <x:c r="D26" s="16" t="str">
        <x:v>Металлопрокат черный</x:v>
      </x:c>
      <x:c r="E26" s="16" t="str">
        <x:v>Т</x:v>
      </x:c>
      <x:c r="F26" s="30" t="n">
        <x:v>0.752</x:v>
      </x:c>
      <x:c r="G26" s="17" t="n">
        <x:v>30758.8108</x:v>
      </x:c>
      <x:c r="H26" s="17" t="n">
        <x:f>G26*F26</x:f>
        <x:v>23130.6257216</x:v>
      </x:c>
      <x:c r="I26" s="22" t="str">
        <x:f>HYPERLINK("https://etp-aktiv.ru/catalog/materialy/metalloprodukciya/2000014894-U112/","Открыть позицию")</x:f>
        <x:v>Открыть позицию</x:v>
      </x:c>
    </x:row>
    <x:row r="27" ht="28" customHeight="1">
      <x:c r="A27" s="16" t="str">
        <x:v>Беловская ГРЭС</x:v>
      </x:c>
      <x:c r="B27" s="16" t="str">
        <x:v>2000014896-U112</x:v>
      </x:c>
      <x:c r="C27" s="16" t="str">
        <x:v>КРУГ СТ3 D70ММ ГОСТ2590-2006</x:v>
      </x:c>
      <x:c r="D27" s="16" t="str">
        <x:v>Металлопрокат черный</x:v>
      </x:c>
      <x:c r="E27" s="16" t="str">
        <x:v>Т</x:v>
      </x:c>
      <x:c r="F27" s="30" t="n">
        <x:v>0.245</x:v>
      </x:c>
      <x:c r="G27" s="17" t="n">
        <x:v>61939.2292</x:v>
      </x:c>
      <x:c r="H27" s="17" t="n">
        <x:f>G27*F27</x:f>
        <x:v>15175.111154</x:v>
      </x:c>
      <x:c r="I27" s="22" t="str">
        <x:f>HYPERLINK("https://etp-aktiv.ru/catalog/materialy/metalloprodukciya/2000014896-U112/","Открыть позицию")</x:f>
        <x:v>Открыть позицию</x:v>
      </x:c>
    </x:row>
    <x:row r="28" ht="28" customHeight="1">
      <x:c r="A28" s="16" t="str">
        <x:v>Беловская ГРЭС</x:v>
      </x:c>
      <x:c r="B28" s="16" t="str">
        <x:v>2000015157-U112</x:v>
      </x:c>
      <x:c r="C28" s="16" t="str">
        <x:v>КРУГ СТ3 D8ММ ГОСТ2590-2006</x:v>
      </x:c>
      <x:c r="D28" s="16" t="str">
        <x:v>Металлопрокат черный</x:v>
      </x:c>
      <x:c r="E28" s="16" t="str">
        <x:v>Т</x:v>
      </x:c>
      <x:c r="F28" s="30" t="n">
        <x:v>0.014</x:v>
      </x:c>
      <x:c r="G28" s="17" t="n">
        <x:v>58712.9392</x:v>
      </x:c>
      <x:c r="H28" s="17" t="n">
        <x:f>G28*F28</x:f>
        <x:v>821.9811488</x:v>
      </x:c>
      <x:c r="I28" s="22" t="str">
        <x:f>HYPERLINK("https://etp-aktiv.ru/catalog/materialy/metalloprodukciya/2000015157-U112/","Открыть позицию")</x:f>
        <x:v>Открыть позицию</x:v>
      </x:c>
    </x:row>
    <x:row r="29" ht="28" customHeight="1">
      <x:c r="A29" s="16" t="str">
        <x:v>Беловская ГРЭС</x:v>
      </x:c>
      <x:c r="B29" s="16" t="str">
        <x:v>2000180343-U112</x:v>
      </x:c>
      <x:c r="C29" s="16" t="str">
        <x:v>КРУГ СТ3ПС5 D40ММ ГОСТ2590-2006</x:v>
      </x:c>
      <x:c r="D29" s="16" t="str">
        <x:v>Металлопрокат черный</x:v>
      </x:c>
      <x:c r="E29" s="16" t="str">
        <x:v>Т</x:v>
      </x:c>
      <x:c r="F29" s="30" t="n">
        <x:v>0.172</x:v>
      </x:c>
      <x:c r="G29" s="17" t="n">
        <x:v>45728.345</x:v>
      </x:c>
      <x:c r="H29" s="17" t="n">
        <x:f>G29*F29</x:f>
        <x:v>7865.275339999999</x:v>
      </x:c>
      <x:c r="I29" s="22" t="str">
        <x:f>HYPERLINK("https://etp-aktiv.ru/catalog/materialy/metalloprodukciya/2000180343-U112/","Открыть позицию")</x:f>
        <x:v>Открыть позицию</x:v>
      </x:c>
    </x:row>
    <x:row r="30" ht="28" customHeight="1">
      <x:c r="A30" s="16" t="str">
        <x:v>Беловская ГРЭС</x:v>
      </x:c>
      <x:c r="B30" s="16" t="str">
        <x:v>2000164791-U112</x:v>
      </x:c>
      <x:c r="C30" s="16" t="str">
        <x:v>КРУГ СТ3СП2 D50ММ ГОСТ2590-88</x:v>
      </x:c>
      <x:c r="D30" s="16" t="str">
        <x:v>Металлопрокат черный</x:v>
      </x:c>
      <x:c r="E30" s="16" t="str">
        <x:v>Т</x:v>
      </x:c>
      <x:c r="F30" s="30" t="n">
        <x:v>0.33</x:v>
      </x:c>
      <x:c r="G30" s="17" t="n">
        <x:v>51336.685</x:v>
      </x:c>
      <x:c r="H30" s="17" t="n">
        <x:f>G30*F30</x:f>
        <x:v>16941.10605</x:v>
      </x:c>
      <x:c r="I30" s="22" t="str">
        <x:f>HYPERLINK("https://etp-aktiv.ru/catalog/materialy/metalloprodukciya/2000164791-U112/","Открыть позицию")</x:f>
        <x:v>Открыть позицию</x:v>
      </x:c>
    </x:row>
    <x:row r="31" ht="28" customHeight="1">
      <x:c r="A31" s="16" t="str">
        <x:v>Беловская ГРЭС</x:v>
      </x:c>
      <x:c r="B31" s="16" t="str">
        <x:v>2000164850-U112</x:v>
      </x:c>
      <x:c r="C31" s="16" t="str">
        <x:v>КРУГ СТ3СП3 D32ММ ГОСТ2590-2006</x:v>
      </x:c>
      <x:c r="D31" s="16" t="str">
        <x:v>Металлопрокат черный</x:v>
      </x:c>
      <x:c r="E31" s="16" t="str">
        <x:v>Т</x:v>
      </x:c>
      <x:c r="F31" s="30" t="n">
        <x:v>0.68</x:v>
      </x:c>
      <x:c r="G31" s="17" t="n">
        <x:v>50630</x:v>
      </x:c>
      <x:c r="H31" s="17" t="n">
        <x:f>G31*F31</x:f>
        <x:v>34428.4</x:v>
      </x:c>
      <x:c r="I31" s="22" t="str">
        <x:f>HYPERLINK("https://etp-aktiv.ru/catalog/materialy/metalloprodukciya/2000164850-U112/","Открыть позицию")</x:f>
        <x:v>Открыть позицию</x:v>
      </x:c>
    </x:row>
    <x:row r="32" ht="28" customHeight="1">
      <x:c r="A32" s="16" t="str">
        <x:v>Беловская ГРЭС</x:v>
      </x:c>
      <x:c r="B32" s="16" t="str">
        <x:v>2000555819-U112</x:v>
      </x:c>
      <x:c r="C32" s="16" t="str">
        <x:v>КРУГ СТ40Х D56ММ ГОСТ2590-2006</x:v>
      </x:c>
      <x:c r="D32" s="16" t="str">
        <x:v>Металлопрокат черный</x:v>
      </x:c>
      <x:c r="E32" s="16" t="str">
        <x:v>Т</x:v>
      </x:c>
      <x:c r="F32" s="30" t="n">
        <x:v>0.214</x:v>
      </x:c>
      <x:c r="G32" s="17" t="n">
        <x:v>54556.875</x:v>
      </x:c>
      <x:c r="H32" s="17" t="n">
        <x:f>G32*F32</x:f>
        <x:v>11675.17125</x:v>
      </x:c>
      <x:c r="I32" s="22" t="str">
        <x:f>HYPERLINK("https://etp-aktiv.ru/catalog/materialy/metalloprodukciya/2000555819-U112/","Открыть позицию")</x:f>
        <x:v>Открыть позицию</x:v>
      </x:c>
    </x:row>
    <x:row r="33" ht="28" customHeight="1">
      <x:c r="A33" s="16" t="str">
        <x:v>Беловская ГРЭС</x:v>
      </x:c>
      <x:c r="B33" s="16" t="str">
        <x:v>2000185681-U112</x:v>
      </x:c>
      <x:c r="C33" s="16" t="str">
        <x:v>КРУГ СТ45 D40ММ ГОСТ2590-2006</x:v>
      </x:c>
      <x:c r="D33" s="16" t="str">
        <x:v>Металлопрокат черный</x:v>
      </x:c>
      <x:c r="E33" s="16" t="str">
        <x:v>Т</x:v>
      </x:c>
      <x:c r="F33" s="29" t="n">
        <x:v>1.084</x:v>
      </x:c>
      <x:c r="G33" s="17" t="n">
        <x:v>36066.25</x:v>
      </x:c>
      <x:c r="H33" s="17" t="n">
        <x:f>G33*F33</x:f>
        <x:v>39095.815</x:v>
      </x:c>
      <x:c r="I33" s="22" t="str">
        <x:f>HYPERLINK("https://etp-aktiv.ru/catalog/materialy/metalloprodukciya/2000185681-U112/","Открыть позицию")</x:f>
        <x:v>Открыть позицию</x:v>
      </x:c>
    </x:row>
    <x:row r="34" ht="28" customHeight="1">
      <x:c r="A34" s="16" t="str">
        <x:v>Беловская ГРЭС</x:v>
      </x:c>
      <x:c r="B34" s="16" t="str">
        <x:v>2000114300-U112</x:v>
      </x:c>
      <x:c r="C34" s="16" t="str">
        <x:v>КРУГ СТ45 D60ММ ГОСТ1050-88</x:v>
      </x:c>
      <x:c r="D34" s="16" t="str">
        <x:v>Металлопрокат черный</x:v>
      </x:c>
      <x:c r="E34" s="16" t="str">
        <x:v>Т</x:v>
      </x:c>
      <x:c r="F34" s="30" t="n">
        <x:v>0.18</x:v>
      </x:c>
      <x:c r="G34" s="17" t="n">
        <x:v>67092.375</x:v>
      </x:c>
      <x:c r="H34" s="17" t="n">
        <x:f>G34*F34</x:f>
        <x:v>12076.627499999999</x:v>
      </x:c>
      <x:c r="I34" s="22" t="str">
        <x:f>HYPERLINK("https://etp-aktiv.ru/catalog/materialy/metalloprodukciya/2000114300-U112/","Открыть позицию")</x:f>
        <x:v>Открыть позицию</x:v>
      </x:c>
    </x:row>
    <x:row r="35" ht="28" customHeight="1">
      <x:c r="A35" s="16" t="str">
        <x:v>Беловская ГРЭС</x:v>
      </x:c>
      <x:c r="B35" s="16" t="str">
        <x:v>2000240321-U112</x:v>
      </x:c>
      <x:c r="C35" s="16" t="str">
        <x:v>ЛЕНТА 12Х18Н10Т 0,1*400 ГОСТ4986-79</x:v>
      </x:c>
      <x:c r="D35" s="16" t="str">
        <x:v>Металлопрокат из нержавеющей стали</x:v>
      </x:c>
      <x:c r="E35" s="16" t="str">
        <x:v>КГ</x:v>
      </x:c>
      <x:c r="F35" s="29" t="n">
        <x:v>3.331</x:v>
      </x:c>
      <x:c r="G35" s="17" t="n">
        <x:v>2577.555</x:v>
      </x:c>
      <x:c r="H35" s="17" t="n">
        <x:f>G35*F35</x:f>
        <x:v>8585.835705</x:v>
      </x:c>
      <x:c r="I35" s="22" t="str">
        <x:f>HYPERLINK("https://etp-aktiv.ru/catalog/materialy/metalloprodukciya/2000240321-U112/","Открыть позицию")</x:f>
        <x:v>Открыть позицию</x:v>
      </x:c>
    </x:row>
    <x:row r="36" ht="28" customHeight="1">
      <x:c r="A36" s="16" t="str">
        <x:v>Беловская ГРЭС</x:v>
      </x:c>
      <x:c r="B36" s="16" t="str">
        <x:v>2000555515-U112</x:v>
      </x:c>
      <x:c r="C36" s="16" t="str">
        <x:v>ЛЕНТА 12Х18Н10Т 0,2*410 ГОСТ4986-79</x:v>
      </x:c>
      <x:c r="D36" s="16" t="str">
        <x:v>Металлопрокат из нержавеющей стали</x:v>
      </x:c>
      <x:c r="E36" s="16" t="str">
        <x:v>КГ</x:v>
      </x:c>
      <x:c r="F36" s="29" t="n">
        <x:v>3.644</x:v>
      </x:c>
      <x:c r="G36" s="17" t="n">
        <x:v>2577.555</x:v>
      </x:c>
      <x:c r="H36" s="17" t="n">
        <x:f>G36*F36</x:f>
        <x:v>9392.610419999999</x:v>
      </x:c>
      <x:c r="I36" s="22" t="str">
        <x:f>HYPERLINK("https://etp-aktiv.ru/catalog/materialy/metalloprodukciya/2000555515-U112/","Открыть позицию")</x:f>
        <x:v>Открыть позицию</x:v>
      </x:c>
    </x:row>
    <x:row r="37" ht="28" customHeight="1">
      <x:c r="A37" s="16" t="str">
        <x:v>Беловская ГРЭС</x:v>
      </x:c>
      <x:c r="B37" s="16" t="str">
        <x:v>2000555516-U112</x:v>
      </x:c>
      <x:c r="C37" s="16" t="str">
        <x:v>ЛЕНТА 12Х18Н10Т 0,25*280 ГОСТ4986-79</x:v>
      </x:c>
      <x:c r="D37" s="16" t="str">
        <x:v>Металлопрокат из нержавеющей стали</x:v>
      </x:c>
      <x:c r="E37" s="16" t="str">
        <x:v>КГ</x:v>
      </x:c>
      <x:c r="F37" s="29" t="n">
        <x:v>4.3</x:v>
      </x:c>
      <x:c r="G37" s="17" t="n">
        <x:v>1995.7125999999998</x:v>
      </x:c>
      <x:c r="H37" s="17" t="n">
        <x:f>G37*F37</x:f>
        <x:v>8581.56418</x:v>
      </x:c>
      <x:c r="I37" s="22" t="str">
        <x:f>HYPERLINK("https://etp-aktiv.ru/catalog/materialy/metalloprodukciya/2000555516-U112/","Открыть позицию")</x:f>
        <x:v>Открыть позицию</x:v>
      </x:c>
    </x:row>
    <x:row r="38" ht="28" customHeight="1">
      <x:c r="A38" s="16" t="str">
        <x:v>Беловская ГРЭС</x:v>
      </x:c>
      <x:c r="B38" s="16" t="str">
        <x:v>2000555518-U112</x:v>
      </x:c>
      <x:c r="C38" s="16" t="str">
        <x:v>ЛЕНТА 12Х18Н10Т 0,25*410 ГОСТ4986-79</x:v>
      </x:c>
      <x:c r="D38" s="16" t="str">
        <x:v>Металлопрокат из нержавеющей стали</x:v>
      </x:c>
      <x:c r="E38" s="16" t="str">
        <x:v>КГ</x:v>
      </x:c>
      <x:c r="F38" s="29" t="n">
        <x:v>4.429</x:v>
      </x:c>
      <x:c r="G38" s="17" t="n">
        <x:v>2730.0427999999997</x:v>
      </x:c>
      <x:c r="H38" s="17" t="n">
        <x:f>G38*F38</x:f>
        <x:v>12091.359561199999</x:v>
      </x:c>
      <x:c r="I38" s="22" t="str">
        <x:f>HYPERLINK("https://etp-aktiv.ru/catalog/materialy/metalloprodukciya/2000555518-U112/","Открыть позицию")</x:f>
        <x:v>Открыть позицию</x:v>
      </x:c>
    </x:row>
    <x:row r="39" ht="28" customHeight="1">
      <x:c r="A39" s="16" t="str">
        <x:v>Беловская ГРЭС</x:v>
      </x:c>
      <x:c r="B39" s="16" t="str">
        <x:v>2000625071-U112</x:v>
      </x:c>
      <x:c r="C39" s="16" t="str">
        <x:v>ЛЕНТА 12Х18Н10Т 0,3*280ММ ГОСТ4986-79</x:v>
      </x:c>
      <x:c r="D39" s="16" t="str">
        <x:v>Металлопрокат из нержавеющей стали</x:v>
      </x:c>
      <x:c r="E39" s="16" t="str">
        <x:v>КГ</x:v>
      </x:c>
      <x:c r="F39" s="29" t="n">
        <x:v>4.258</x:v>
      </x:c>
      <x:c r="G39" s="17" t="n">
        <x:v>2719.7338</x:v>
      </x:c>
      <x:c r="H39" s="17" t="n">
        <x:f>G39*F39</x:f>
        <x:v>11580.6265204</x:v>
      </x:c>
      <x:c r="I39" s="22" t="str">
        <x:f>HYPERLINK("https://etp-aktiv.ru/catalog/materialy/metalloprodukciya/2000625071-U112/","Открыть позицию")</x:f>
        <x:v>Открыть позицию</x:v>
      </x:c>
    </x:row>
    <x:row r="40" ht="28" customHeight="1">
      <x:c r="A40" s="16" t="str">
        <x:v>Беловская ГРЭС</x:v>
      </x:c>
      <x:c r="B40" s="16" t="str">
        <x:v>2000555522-U112</x:v>
      </x:c>
      <x:c r="C40" s="16" t="str">
        <x:v>ЛЕНТА 12Х18Н10Т 0,4*395 ГОСТ4986-79</x:v>
      </x:c>
      <x:c r="D40" s="16" t="str">
        <x:v>Металлопрокат из нержавеющей стали</x:v>
      </x:c>
      <x:c r="E40" s="16" t="str">
        <x:v>КГ</x:v>
      </x:c>
      <x:c r="F40" s="30" t="n">
        <x:v>0.644</x:v>
      </x:c>
      <x:c r="G40" s="17" t="n">
        <x:v>2577.555</x:v>
      </x:c>
      <x:c r="H40" s="17" t="n">
        <x:f>G40*F40</x:f>
        <x:v>1659.94542</x:v>
      </x:c>
      <x:c r="I40" s="22" t="str">
        <x:f>HYPERLINK("https://etp-aktiv.ru/catalog/materialy/metalloprodukciya/2000555522-U112/","Открыть позицию")</x:f>
        <x:v>Открыть позицию</x:v>
      </x:c>
    </x:row>
    <x:row r="41" ht="28" customHeight="1">
      <x:c r="A41" s="16" t="str">
        <x:v>Беловская ГРЭС</x:v>
      </x:c>
      <x:c r="B41" s="16" t="str">
        <x:v>2000931306-U112</x:v>
      </x:c>
      <x:c r="C41" s="16" t="str">
        <x:v>ЛИСТ 08Х18Н10 0,6*1000*2000 ГОСТ5582-75</x:v>
      </x:c>
      <x:c r="D41" s="16" t="str">
        <x:v>Металлопрокат из нержавеющей стали</x:v>
      </x:c>
      <x:c r="E41" s="16" t="str">
        <x:v>Т</x:v>
      </x:c>
      <x:c r="F41" s="30" t="n">
        <x:v>0.02</x:v>
      </x:c>
      <x:c r="G41" s="17" t="n">
        <x:v>896459.355</x:v>
      </x:c>
      <x:c r="H41" s="17" t="n">
        <x:f>G41*F41</x:f>
        <x:v>17929.1871</x:v>
      </x:c>
      <x:c r="I41" s="22" t="str">
        <x:f>HYPERLINK("https://etp-aktiv.ru/catalog/materialy/metalloprodukciya/2000931306-U112/","Открыть позицию")</x:f>
        <x:v>Открыть позицию</x:v>
      </x:c>
    </x:row>
    <x:row r="42" ht="28" customHeight="1">
      <x:c r="A42" s="16" t="str">
        <x:v>Беловская ГРЭС</x:v>
      </x:c>
      <x:c r="B42" s="16" t="str">
        <x:v>2000581756-U112</x:v>
      </x:c>
      <x:c r="C42" s="16" t="str">
        <x:v>ЛИСТ 20Х23Н18 12*1500*6000 ГОСТ7350-77</x:v>
      </x:c>
      <x:c r="D42" s="16" t="str">
        <x:v>Металлопрокат из нержавеющей стали</x:v>
      </x:c>
      <x:c r="E42" s="16" t="str">
        <x:v>Т</x:v>
      </x:c>
      <x:c r="F42" s="29" t="n">
        <x:v>2.918</x:v>
      </x:c>
      <x:c r="G42" s="17" t="n">
        <x:v>654868.0132</x:v>
      </x:c>
      <x:c r="H42" s="17" t="n">
        <x:f>G42*F42</x:f>
        <x:v>1910904.8625176002</x:v>
      </x:c>
      <x:c r="I42" s="22" t="str">
        <x:f>HYPERLINK("https://etp-aktiv.ru/catalog/materialy/metalloprodukciya/2000581756-U112/","Открыть позицию")</x:f>
        <x:v>Открыть позицию</x:v>
      </x:c>
    </x:row>
    <x:row r="43" ht="28" customHeight="1">
      <x:c r="A43" s="16" t="str">
        <x:v>Беловская ГРЭС</x:v>
      </x:c>
      <x:c r="B43" s="16" t="str">
        <x:v>2000163696-U112</x:v>
      </x:c>
      <x:c r="C43" s="16" t="str">
        <x:v>ЛИСТ 20Х23Н18 20ММ ГОСТ7350-77</x:v>
      </x:c>
      <x:c r="D43" s="16" t="str">
        <x:v>Металлопрокат из нержавеющей стали</x:v>
      </x:c>
      <x:c r="E43" s="16" t="str">
        <x:v>Т</x:v>
      </x:c>
      <x:c r="F43" s="29" t="n">
        <x:v>3.274</x:v>
      </x:c>
      <x:c r="G43" s="17" t="n">
        <x:v>677029.7402</x:v>
      </x:c>
      <x:c r="H43" s="17" t="n">
        <x:f>G43*F43</x:f>
        <x:v>2216595.3694148</x:v>
      </x:c>
      <x:c r="I43" s="22" t="str">
        <x:f>HYPERLINK("https://etp-aktiv.ru/catalog/materialy/metalloprodukciya/2000163696-U112/","Открыть позицию")</x:f>
        <x:v>Открыть позицию</x:v>
      </x:c>
    </x:row>
    <x:row r="44" ht="28" customHeight="1">
      <x:c r="A44" s="16" t="str">
        <x:v>Беловская ГРЭС</x:v>
      </x:c>
      <x:c r="B44" s="16" t="str">
        <x:v>2000148571-U112</x:v>
      </x:c>
      <x:c r="C44" s="16" t="str">
        <x:v>ЛИСТ 20Х23Н18 8ММ ГОСТ7350-77</x:v>
      </x:c>
      <x:c r="D44" s="16" t="str">
        <x:v>Металлопрокат из нержавеющей стали</x:v>
      </x:c>
      <x:c r="E44" s="16" t="str">
        <x:v>Т</x:v>
      </x:c>
      <x:c r="F44" s="30" t="n">
        <x:v>0.274</x:v>
      </x:c>
      <x:c r="G44" s="17" t="n">
        <x:v>640500</x:v>
      </x:c>
      <x:c r="H44" s="17" t="n">
        <x:f>G44*F44</x:f>
        <x:v>175497</x:v>
      </x:c>
      <x:c r="I44" s="22" t="str">
        <x:f>HYPERLINK("https://etp-aktiv.ru/catalog/materialy/metalloprodukciya/2000148571-U112/","Открыть позицию")</x:f>
        <x:v>Открыть позицию</x:v>
      </x:c>
    </x:row>
    <x:row r="45" ht="28" customHeight="1">
      <x:c r="A45" s="16" t="str">
        <x:v>Беловская ГРЭС</x:v>
      </x:c>
      <x:c r="B45" s="16" t="str">
        <x:v>2000015589-U112</x:v>
      </x:c>
      <x:c r="C45" s="16" t="str">
        <x:v>ЛИСТ Г/К СТ3 30ММ ГОСТ14637-89</x:v>
      </x:c>
      <x:c r="D45" s="16" t="str">
        <x:v>Металлопрокат черный</x:v>
      </x:c>
      <x:c r="E45" s="16" t="str">
        <x:v>Т</x:v>
      </x:c>
      <x:c r="F45" s="30" t="n">
        <x:v>0.822</x:v>
      </x:c>
      <x:c r="G45" s="17" t="n">
        <x:v>72107.5144</x:v>
      </x:c>
      <x:c r="H45" s="17" t="n">
        <x:f>G45*F45</x:f>
        <x:v>59272.376836799995</x:v>
      </x:c>
      <x:c r="I45" s="22" t="str">
        <x:f>HYPERLINK("https://etp-aktiv.ru/catalog/materialy/metalloprodukciya/2000015589-U112/","Открыть позицию")</x:f>
        <x:v>Открыть позицию</x:v>
      </x:c>
    </x:row>
    <x:row r="46" ht="28" customHeight="1">
      <x:c r="A46" s="16" t="str">
        <x:v>Беловская ГРЭС</x:v>
      </x:c>
      <x:c r="B46" s="16" t="str">
        <x:v>2000139962-U112</x:v>
      </x:c>
      <x:c r="C46" s="16" t="str">
        <x:v>ЛИСТ Г/К СТ3 50ММ ГОСТ19903-74</x:v>
      </x:c>
      <x:c r="D46" s="16" t="str">
        <x:v>Металлопрокат черный</x:v>
      </x:c>
      <x:c r="E46" s="16" t="str">
        <x:v>Т</x:v>
      </x:c>
      <x:c r="F46" s="30" t="n">
        <x:v>0.298</x:v>
      </x:c>
      <x:c r="G46" s="17" t="n">
        <x:v>75408.1634</x:v>
      </x:c>
      <x:c r="H46" s="17" t="n">
        <x:f>G46*F46</x:f>
        <x:v>22471.6326932</x:v>
      </x:c>
      <x:c r="I46" s="22" t="str">
        <x:f>HYPERLINK("https://etp-aktiv.ru/catalog/materialy/metalloprodukciya/2000139962-U112/","Открыть позицию")</x:f>
        <x:v>Открыть позицию</x:v>
      </x:c>
    </x:row>
    <x:row r="47" ht="28" customHeight="1">
      <x:c r="A47" s="16" t="str">
        <x:v>Беловская ГРЭС</x:v>
      </x:c>
      <x:c r="B47" s="16" t="str">
        <x:v>2000164869-U112</x:v>
      </x:c>
      <x:c r="C47" s="16" t="str">
        <x:v>ЛИСТ Г/К СТ3СП5 14ММ ГОСТ14637-89</x:v>
      </x:c>
      <x:c r="D47" s="16" t="str">
        <x:v>Металлопрокат черный</x:v>
      </x:c>
      <x:c r="E47" s="16" t="str">
        <x:v>Т</x:v>
      </x:c>
      <x:c r="F47" s="30" t="n">
        <x:v>0.686</x:v>
      </x:c>
      <x:c r="G47" s="17" t="n">
        <x:v>56730</x:v>
      </x:c>
      <x:c r="H47" s="17" t="n">
        <x:f>G47*F47</x:f>
        <x:v>38916.780000000006</x:v>
      </x:c>
      <x:c r="I47" s="22" t="str">
        <x:f>HYPERLINK("https://etp-aktiv.ru/catalog/materialy/metalloprodukciya/2000164869-U112/","Открыть позицию")</x:f>
        <x:v>Открыть позицию</x:v>
      </x:c>
    </x:row>
    <x:row r="48" ht="28" customHeight="1">
      <x:c r="A48" s="16" t="str">
        <x:v>Беловская ГРЭС</x:v>
      </x:c>
      <x:c r="B48" s="16" t="str">
        <x:v>2000555978-U112</x:v>
      </x:c>
      <x:c r="C48" s="16" t="str">
        <x:v>ЛИСТ Г/К СТ3СП5 16*1500*6000 ГОСТ380-05</x:v>
      </x:c>
      <x:c r="D48" s="16" t="str">
        <x:v>Металлопрокат черный</x:v>
      </x:c>
      <x:c r="E48" s="16" t="str">
        <x:v>Т</x:v>
      </x:c>
      <x:c r="F48" s="30" t="n">
        <x:v>0.71</x:v>
      </x:c>
      <x:c r="G48" s="17" t="n">
        <x:v>69801.629</x:v>
      </x:c>
      <x:c r="H48" s="17" t="n">
        <x:f>G48*F48</x:f>
        <x:v>49559.15659</x:v>
      </x:c>
      <x:c r="I48" s="22" t="str">
        <x:f>HYPERLINK("https://etp-aktiv.ru/catalog/materialy/metalloprodukciya/2000555978-U112/","Открыть позицию")</x:f>
        <x:v>Открыть позицию</x:v>
      </x:c>
    </x:row>
    <x:row r="49" ht="28" customHeight="1">
      <x:c r="A49" s="16" t="str">
        <x:v>Беловская ГРЭС</x:v>
      </x:c>
      <x:c r="B49" s="16" t="str">
        <x:v>2000458083-U112</x:v>
      </x:c>
      <x:c r="C49" s="16" t="str">
        <x:v>ЛИСТ ОЦ СТ3ПС5 0,55ММ ГОСТ14918-80</x:v>
      </x:c>
      <x:c r="D49" s="16" t="str">
        <x:v>Металлопрокат черный</x:v>
      </x:c>
      <x:c r="E49" s="16" t="str">
        <x:v>Т</x:v>
      </x:c>
      <x:c r="F49" s="30" t="n">
        <x:v>0.012</x:v>
      </x:c>
      <x:c r="G49" s="17" t="n">
        <x:v>105225</x:v>
      </x:c>
      <x:c r="H49" s="17" t="n">
        <x:f>G49*F49</x:f>
        <x:v>1262.7</x:v>
      </x:c>
      <x:c r="I49" s="22" t="str">
        <x:f>HYPERLINK("https://etp-aktiv.ru/catalog/materialy/metalloprodukciya/2000458083-U112/","Открыть позицию")</x:f>
        <x:v>Открыть позицию</x:v>
      </x:c>
    </x:row>
    <x:row r="50" ht="28" customHeight="1">
      <x:c r="A50" s="16" t="str">
        <x:v>Беловская ГРЭС</x:v>
      </x:c>
      <x:c r="B50" s="16" t="str">
        <x:v>2000029592-U112</x:v>
      </x:c>
      <x:c r="C50" s="16" t="str">
        <x:v>ЛИСТ СТ08ПС 0,8ММ ГОСТ14918-80</x:v>
      </x:c>
      <x:c r="D50" s="16" t="str">
        <x:v>Металлопрокат черный</x:v>
      </x:c>
      <x:c r="E50" s="16" t="str">
        <x:v>Т</x:v>
      </x:c>
      <x:c r="F50" s="30" t="n">
        <x:v>0.756</x:v>
      </x:c>
      <x:c r="G50" s="17" t="n">
        <x:v>96749.5258</x:v>
      </x:c>
      <x:c r="H50" s="17" t="n">
        <x:f>G50*F50</x:f>
        <x:v>73142.6415048</x:v>
      </x:c>
      <x:c r="I50" s="22" t="str">
        <x:f>HYPERLINK("https://etp-aktiv.ru/catalog/materialy/metalloprodukciya/2000029592-U112/","Открыть позицию")</x:f>
        <x:v>Открыть позицию</x:v>
      </x:c>
    </x:row>
    <x:row r="51" ht="28" customHeight="1">
      <x:c r="A51" s="16" t="str">
        <x:v>Беловская ГРЭС</x:v>
      </x:c>
      <x:c r="B51" s="16" t="str">
        <x:v>2000555923-U112</x:v>
      </x:c>
      <x:c r="C51" s="16" t="str">
        <x:v>ЛИСТ СТ3ПС5 20*1500*6000 ГОСТ14637-89</x:v>
      </x:c>
      <x:c r="D51" s="16" t="str">
        <x:v>Металлопрокат черный</x:v>
      </x:c>
      <x:c r="E51" s="16" t="str">
        <x:v>Т</x:v>
      </x:c>
      <x:c r="F51" s="29" t="n">
        <x:v>1.068</x:v>
      </x:c>
      <x:c r="G51" s="17" t="n">
        <x:v>56730</x:v>
      </x:c>
      <x:c r="H51" s="17" t="n">
        <x:f>G51*F51</x:f>
        <x:v>60587.64000000001</x:v>
      </x:c>
      <x:c r="I51" s="22" t="str">
        <x:f>HYPERLINK("https://etp-aktiv.ru/catalog/materialy/metalloprodukciya/2000555923-U112/","Открыть позицию")</x:f>
        <x:v>Открыть позицию</x:v>
      </x:c>
    </x:row>
    <x:row r="52" ht="28" customHeight="1">
      <x:c r="A52" s="16" t="str">
        <x:v>Беловская ГРЭС</x:v>
      </x:c>
      <x:c r="B52" s="16" t="str">
        <x:v>2000673972-U112</x:v>
      </x:c>
      <x:c r="C52" s="16" t="str">
        <x:v>ОТЛИВКА БРО10Ф1 D230 L200 ГОСТ613-79</x:v>
      </x:c>
      <x:c r="D52" s="16" t="str">
        <x:v>Металлопрокат цветной</x:v>
      </x:c>
      <x:c r="E52" s="16" t="str">
        <x:v>ШТ</x:v>
      </x:c>
      <x:c r="F52" s="21" t="n">
        <x:v>2</x:v>
      </x:c>
      <x:c r="G52" s="17" t="n">
        <x:v>131400.2342</x:v>
      </x:c>
      <x:c r="H52" s="17" t="n">
        <x:f>G52*F52</x:f>
        <x:v>262800.4684</x:v>
      </x:c>
      <x:c r="I52" s="22" t="str">
        <x:f>HYPERLINK("https://etp-aktiv.ru/catalog/materialy/metalloprodukciya/2000673972-U112/","Открыть позицию")</x:f>
        <x:v>Открыть позицию</x:v>
      </x:c>
    </x:row>
    <x:row r="53" ht="28" customHeight="1">
      <x:c r="A53" s="16" t="str">
        <x:v>Беловская ГРЭС</x:v>
      </x:c>
      <x:c r="B53" s="16" t="str">
        <x:v>2000556023-U112</x:v>
      </x:c>
      <x:c r="C53" s="16" t="str">
        <x:v>ОТЛИВКА СЧ15 150*240 ГОСТ1412-85</x:v>
      </x:c>
      <x:c r="D53" s="16" t="str">
        <x:v>Шихтовые материалы</x:v>
      </x:c>
      <x:c r="E53" s="16" t="str">
        <x:v>ШТ</x:v>
      </x:c>
      <x:c r="F53" s="21" t="n">
        <x:v>1</x:v>
      </x:c>
      <x:c r="G53" s="17" t="n">
        <x:v>989.115</x:v>
      </x:c>
      <x:c r="H53" s="17" t="n">
        <x:f>G53*F53</x:f>
        <x:v>989.115</x:v>
      </x:c>
      <x:c r="I53" s="22" t="str">
        <x:f>HYPERLINK("https://etp-aktiv.ru/catalog/materialy/metalloprodukciya/2000556023-U112/","Открыть позицию")</x:f>
        <x:v>Открыть позицию</x:v>
      </x:c>
    </x:row>
    <x:row r="54" ht="28" customHeight="1">
      <x:c r="A54" s="16" t="str">
        <x:v>Беловская ГРЭС</x:v>
      </x:c>
      <x:c r="B54" s="16" t="str">
        <x:v>2000688267-U112</x:v>
      </x:c>
      <x:c r="C54" s="16" t="str">
        <x:v>ОТЛИВКА СЧ15-32 150*500 ГОСТ1412-85</x:v>
      </x:c>
      <x:c r="D54" s="16" t="str">
        <x:v>Шихтовые материалы</x:v>
      </x:c>
      <x:c r="E54" s="16" t="str">
        <x:v>ШТ</x:v>
      </x:c>
      <x:c r="F54" s="21" t="n">
        <x:v>2</x:v>
      </x:c>
      <x:c r="G54" s="17" t="n">
        <x:v>3226.9</x:v>
      </x:c>
      <x:c r="H54" s="17" t="n">
        <x:f>G54*F54</x:f>
        <x:v>6453.8</x:v>
      </x:c>
      <x:c r="I54" s="22" t="str">
        <x:f>HYPERLINK("https://etp-aktiv.ru/catalog/materialy/metalloprodukciya/2000688267-U112/","Открыть позицию")</x:f>
        <x:v>Открыть позицию</x:v>
      </x:c>
    </x:row>
    <x:row r="55" ht="28" customHeight="1">
      <x:c r="A55" s="16" t="str">
        <x:v>Беловская ГРЭС</x:v>
      </x:c>
      <x:c r="B55" s="16" t="str">
        <x:v>2000449266-U112</x:v>
      </x:c>
      <x:c r="C55" s="16" t="str">
        <x:v>ПРИПОЙ ПОС-61 1ММ ГОСТ21931-76</x:v>
      </x:c>
      <x:c r="D55" s="16" t="str">
        <x:v>Металлопрокат цветной</x:v>
      </x:c>
      <x:c r="E55" s="16" t="str">
        <x:v>ШТ</x:v>
      </x:c>
      <x:c r="F55" s="29" t="n">
        <x:v>3.12</x:v>
      </x:c>
      <x:c r="G55" s="17" t="n">
        <x:v>200.446</x:v>
      </x:c>
      <x:c r="H55" s="17" t="n">
        <x:f>G55*F55</x:f>
        <x:v>625.39152</x:v>
      </x:c>
      <x:c r="I55" s="22" t="str">
        <x:f>HYPERLINK("https://etp-aktiv.ru/catalog/materialy/metalloprodukciya/2000449266-U112/","Открыть позицию")</x:f>
        <x:v>Открыть позицию</x:v>
      </x:c>
    </x:row>
    <x:row r="56" ht="28" customHeight="1">
      <x:c r="A56" s="16" t="str">
        <x:v>Беловская ГРЭС</x:v>
      </x:c>
      <x:c r="B56" s="16" t="str">
        <x:v>2000238354-U112</x:v>
      </x:c>
      <x:c r="C56" s="16" t="str">
        <x:v>ПРОВОЛОКА 3,0-0-Ч ГОСТ3282-74</x:v>
      </x:c>
      <x:c r="D56" s="16" t="str">
        <x:v>Метизы специализированные и под заказ</x:v>
      </x:c>
      <x:c r="E56" s="16" t="str">
        <x:v>КГ</x:v>
      </x:c>
      <x:c r="F56" s="21" t="n">
        <x:v>2</x:v>
      </x:c>
      <x:c r="G56" s="17" t="n">
        <x:v>122.12199999999999</x:v>
      </x:c>
      <x:c r="H56" s="17" t="n">
        <x:f>G56*F56</x:f>
        <x:v>244.24399999999997</x:v>
      </x:c>
      <x:c r="I56" s="22" t="str">
        <x:f>HYPERLINK("https://etp-aktiv.ru/catalog/materialy/metizy/2000238354-U112/","Открыть позицию")</x:f>
        <x:v>Открыть позицию</x:v>
      </x:c>
    </x:row>
    <x:row r="57" ht="28" customHeight="1">
      <x:c r="A57" s="16" t="str">
        <x:v>Беловская ГРЭС</x:v>
      </x:c>
      <x:c r="B57" s="16" t="str">
        <x:v>2000087277-U112</x:v>
      </x:c>
      <x:c r="C57" s="16" t="str">
        <x:v>ПРОВОЛОКА D4ММ ГОСТ3282-74</x:v>
      </x:c>
      <x:c r="D57" s="16" t="str">
        <x:v>Метизы специализированные и под заказ</x:v>
      </x:c>
      <x:c r="E57" s="16" t="str">
        <x:v>Т</x:v>
      </x:c>
      <x:c r="F57" s="30" t="n">
        <x:v>0.02</x:v>
      </x:c>
      <x:c r="G57" s="17" t="n">
        <x:v>98933.92360000001</x:v>
      </x:c>
      <x:c r="H57" s="17" t="n">
        <x:f>G57*F57</x:f>
        <x:v>1978.6784720000003</x:v>
      </x:c>
      <x:c r="I57" s="22" t="str">
        <x:f>HYPERLINK("https://etp-aktiv.ru/catalog/materialy/metizy/2000087277-U112/","Открыть позицию")</x:f>
        <x:v>Открыть позицию</x:v>
      </x:c>
    </x:row>
    <x:row r="58" ht="28" customHeight="1">
      <x:c r="A58" s="16" t="str">
        <x:v>Беловская ГРЭС</x:v>
      </x:c>
      <x:c r="B58" s="16" t="str">
        <x:v>2000546364-U112</x:v>
      </x:c>
      <x:c r="C58" s="16" t="str">
        <x:v>ПРОВОЛОКА СВ08А D3ММ ГОСТ2246-70</x:v>
      </x:c>
      <x:c r="D58" s="16" t="str">
        <x:v>Сварочные электроды</x:v>
      </x:c>
      <x:c r="E58" s="16" t="str">
        <x:v>КГ</x:v>
      </x:c>
      <x:c r="F58" s="21" t="n">
        <x:v>5</x:v>
      </x:c>
      <x:c r="G58" s="17" t="n">
        <x:v>41.3702</x:v>
      </x:c>
      <x:c r="H58" s="17" t="n">
        <x:f>G58*F58</x:f>
        <x:v>206.851</x:v>
      </x:c>
      <x:c r="I58" s="22" t="str">
        <x:f>HYPERLINK("https://etp-aktiv.ru/catalog/materialy/svarochnye-ehlektrody/2000546364-U112/","Открыть позицию")</x:f>
        <x:v>Открыть позицию</x:v>
      </x:c>
    </x:row>
    <x:row r="59" ht="28" customHeight="1">
      <x:c r="A59" s="16" t="str">
        <x:v>Беловская ГРЭС</x:v>
      </x:c>
      <x:c r="B59" s="16" t="str">
        <x:v>2000546345-U112</x:v>
      </x:c>
      <x:c r="C59" s="16" t="str">
        <x:v>ПРОВОЛОКА СВ08Г2С D1,2ММ ГОСТ2246-70</x:v>
      </x:c>
      <x:c r="D59" s="16" t="str">
        <x:v>Сварочные электроды</x:v>
      </x:c>
      <x:c r="E59" s="16" t="str">
        <x:v>КГ</x:v>
      </x:c>
      <x:c r="F59" s="21" t="n">
        <x:v>45</x:v>
      </x:c>
      <x:c r="G59" s="17" t="n">
        <x:v>88.7794</x:v>
      </x:c>
      <x:c r="H59" s="17" t="n">
        <x:f>G59*F59</x:f>
        <x:v>3995.073</x:v>
      </x:c>
      <x:c r="I59" s="22" t="str">
        <x:f>HYPERLINK("https://etp-aktiv.ru/catalog/materialy/svarochnye-ehlektrody/2000546345-U112/","Открыть позицию")</x:f>
        <x:v>Открыть позицию</x:v>
      </x:c>
    </x:row>
    <x:row r="60" ht="28" customHeight="1">
      <x:c r="A60" s="16" t="str">
        <x:v>Беловская ГРЭС</x:v>
      </x:c>
      <x:c r="B60" s="16" t="str">
        <x:v>2000210745-U112</x:v>
      </x:c>
      <x:c r="C60" s="16" t="str">
        <x:v>ПРОВОЛОКА СВ08Г2С D2ММ ГОСТ2246-70</x:v>
      </x:c>
      <x:c r="D60" s="16" t="str">
        <x:v>Сварочные электроды</x:v>
      </x:c>
      <x:c r="E60" s="16" t="str">
        <x:v>КГ</x:v>
      </x:c>
      <x:c r="F60" s="29" t="n">
        <x:v>18.76</x:v>
      </x:c>
      <x:c r="G60" s="17" t="n">
        <x:v>33.257200000000005</x:v>
      </x:c>
      <x:c r="H60" s="17" t="n">
        <x:f>G60*F60</x:f>
        <x:v>623.9050720000001</x:v>
      </x:c>
      <x:c r="I60" s="22" t="str">
        <x:f>HYPERLINK("https://etp-aktiv.ru/catalog/materialy/svarochnye-ehlektrody/2000210745-U112/","Открыть позицию")</x:f>
        <x:v>Открыть позицию</x:v>
      </x:c>
    </x:row>
    <x:row r="61" ht="28" customHeight="1">
      <x:c r="A61" s="16" t="str">
        <x:v>Беловская ГРЭС</x:v>
      </x:c>
      <x:c r="B61" s="16" t="str">
        <x:v>2000250402-U112</x:v>
      </x:c>
      <x:c r="C61" s="16" t="str">
        <x:v>ПРОВОЛОКА СВ08Г2С-О D1,2ММ ГОСТ2246-70</x:v>
      </x:c>
      <x:c r="D61" s="16" t="str">
        <x:v>Сварочные электроды</x:v>
      </x:c>
      <x:c r="E61" s="16" t="str">
        <x:v>КГ</x:v>
      </x:c>
      <x:c r="F61" s="21" t="n">
        <x:v>225</x:v>
      </x:c>
      <x:c r="G61" s="17" t="n">
        <x:v>111.84960000000001</x:v>
      </x:c>
      <x:c r="H61" s="17" t="n">
        <x:f>G61*F61</x:f>
        <x:v>25166.160000000003</x:v>
      </x:c>
      <x:c r="I61" s="22" t="str">
        <x:f>HYPERLINK("https://etp-aktiv.ru/catalog/materialy/svarochnye-ehlektrody/2000250402-U112/","Открыть позицию")</x:f>
        <x:v>Открыть позицию</x:v>
      </x:c>
    </x:row>
    <x:row r="62" ht="28" customHeight="1">
      <x:c r="A62" s="16" t="str">
        <x:v>Беловская ГРЭС</x:v>
      </x:c>
      <x:c r="B62" s="16" t="str">
        <x:v>2000546361-U112</x:v>
      </x:c>
      <x:c r="C62" s="16" t="str">
        <x:v>ПРОВОЛОКА СВ08ХМФА D2ММ ГОСТ2246-70</x:v>
      </x:c>
      <x:c r="D62" s="16" t="str">
        <x:v>Сварочные электроды</x:v>
      </x:c>
      <x:c r="E62" s="16" t="str">
        <x:v>КГ</x:v>
      </x:c>
      <x:c r="F62" s="29" t="n">
        <x:v>2.16</x:v>
      </x:c>
      <x:c r="G62" s="17" t="n">
        <x:v>305</x:v>
      </x:c>
      <x:c r="H62" s="17" t="n">
        <x:f>G62*F62</x:f>
        <x:v>658.8000000000001</x:v>
      </x:c>
      <x:c r="I62" s="22" t="str">
        <x:f>HYPERLINK("https://etp-aktiv.ru/catalog/materialy/svarochnye-ehlektrody/2000546361-U112/","Открыть позицию")</x:f>
        <x:v>Открыть позицию</x:v>
      </x:c>
    </x:row>
    <x:row r="63" ht="28" customHeight="1">
      <x:c r="A63" s="16" t="str">
        <x:v>Беловская ГРЭС</x:v>
      </x:c>
      <x:c r="B63" s="16" t="str">
        <x:v>2000556016-U112</x:v>
      </x:c>
      <x:c r="C63" s="16" t="str">
        <x:v>ПРОФЛИСТ С8-1200-0,7 6М RAL5005 Г24045</x:v>
      </x:c>
      <x:c r="D63" s="16" t="str">
        <x:v>Металлопрокат прочий</x:v>
      </x:c>
      <x:c r="E63" s="16" t="str">
        <x:v>М2</x:v>
      </x:c>
      <x:c r="F63" s="29" t="n">
        <x:v>28.8</x:v>
      </x:c>
      <x:c r="G63" s="17" t="n">
        <x:v>1104.5758</x:v>
      </x:c>
      <x:c r="H63" s="17" t="n">
        <x:f>G63*F63</x:f>
        <x:v>31811.783040000002</x:v>
      </x:c>
      <x:c r="I63" s="22" t="str">
        <x:f>HYPERLINK("https://etp-aktiv.ru/catalog/materialy/metalloprodukciya/2000556016-U112/","Открыть позицию")</x:f>
        <x:v>Открыть позицию</x:v>
      </x:c>
    </x:row>
    <x:row r="64" ht="28" customHeight="1">
      <x:c r="A64" s="16" t="str">
        <x:v>Беловская ГРЭС</x:v>
      </x:c>
      <x:c r="B64" s="16" t="str">
        <x:v>2000147522-U112</x:v>
      </x:c>
      <x:c r="C64" s="16" t="str">
        <x:v>ПРУТОК БРАЖ 9-4 D50ММ ГОСТ1628-78</x:v>
      </x:c>
      <x:c r="D64" s="16" t="str">
        <x:v>Металлопрокат цветной</x:v>
      </x:c>
      <x:c r="E64" s="16" t="str">
        <x:v>КГ</x:v>
      </x:c>
      <x:c r="F64" s="29" t="n">
        <x:v>18.6</x:v>
      </x:c>
      <x:c r="G64" s="17" t="n">
        <x:v>821.2674</x:v>
      </x:c>
      <x:c r="H64" s="17" t="n">
        <x:f>G64*F64</x:f>
        <x:v>15275.57364</x:v>
      </x:c>
      <x:c r="I64" s="22" t="str">
        <x:f>HYPERLINK("https://etp-aktiv.ru/catalog/materialy/metalloprodukciya/2000147522-U112/","Открыть позицию")</x:f>
        <x:v>Открыть позицию</x:v>
      </x:c>
    </x:row>
    <x:row r="65" ht="28" customHeight="1">
      <x:c r="A65" s="16" t="str">
        <x:v>Беловская ГРЭС</x:v>
      </x:c>
      <x:c r="B65" s="16" t="str">
        <x:v>2000170722-U112</x:v>
      </x:c>
      <x:c r="C65" s="16" t="str">
        <x:v>ПРУТОК Л63 D20ММ ГОСТ2060-2006</x:v>
      </x:c>
      <x:c r="D65" s="16" t="str">
        <x:v>Металлопрокат цветной</x:v>
      </x:c>
      <x:c r="E65" s="16" t="str">
        <x:v>КГ</x:v>
      </x:c>
      <x:c r="F65" s="29" t="n">
        <x:v>37.3</x:v>
      </x:c>
      <x:c r="G65" s="17" t="n">
        <x:v>924.3818</x:v>
      </x:c>
      <x:c r="H65" s="17" t="n">
        <x:f>G65*F65</x:f>
        <x:v>34479.441139999995</x:v>
      </x:c>
      <x:c r="I65" s="22" t="str">
        <x:f>HYPERLINK("https://etp-aktiv.ru/catalog/materialy/metalloprodukciya/2000170722-U112/","Открыть позицию")</x:f>
        <x:v>Открыть позицию</x:v>
      </x:c>
    </x:row>
    <x:row r="66" ht="28" customHeight="1">
      <x:c r="A66" s="16" t="str">
        <x:v>Беловская ГРЭС</x:v>
      </x:c>
      <x:c r="B66" s="16" t="str">
        <x:v>2000197597-U112</x:v>
      </x:c>
      <x:c r="C66" s="16" t="str">
        <x:v>ПУДРА АЛЮМИНИЕВАЯ ПАП-2 ГОСТ5494-95</x:v>
      </x:c>
      <x:c r="D66" s="16" t="str">
        <x:v>Металлопрокат цветной</x:v>
      </x:c>
      <x:c r="E66" s="16" t="str">
        <x:v>КГ</x:v>
      </x:c>
      <x:c r="F66" s="29" t="n">
        <x:v>19.25</x:v>
      </x:c>
      <x:c r="G66" s="17" t="n">
        <x:v>446.1052</x:v>
      </x:c>
      <x:c r="H66" s="17" t="n">
        <x:f>G66*F66</x:f>
        <x:v>8587.5251</x:v>
      </x:c>
      <x:c r="I66" s="22" t="str">
        <x:f>HYPERLINK("https://etp-aktiv.ru/catalog/materialy/metalloprodukciya/2000197597-U112/","Открыть позицию")</x:f>
        <x:v>Открыть позицию</x:v>
      </x:c>
    </x:row>
    <x:row r="67" ht="28" customHeight="1">
      <x:c r="A67" s="16" t="str">
        <x:v>Беловская ГРЭС</x:v>
      </x:c>
      <x:c r="B67" s="16" t="str">
        <x:v>2000467653-U112</x:v>
      </x:c>
      <x:c r="C67" s="16" t="str">
        <x:v>СЕТКА ВР-1 4*100*100 800*4000 ГОСТ23279</x:v>
      </x:c>
      <x:c r="D67" s="16" t="str">
        <x:v>Металлопрокат прочий</x:v>
      </x:c>
      <x:c r="E67" s="16" t="str">
        <x:v>ШТ</x:v>
      </x:c>
      <x:c r="F67" s="21" t="n">
        <x:v>53</x:v>
      </x:c>
      <x:c r="G67" s="17" t="n">
        <x:v>555.8686</x:v>
      </x:c>
      <x:c r="H67" s="17" t="n">
        <x:f>G67*F67</x:f>
        <x:v>29461.0358</x:v>
      </x:c>
      <x:c r="I67" s="22" t="str">
        <x:f>HYPERLINK("https://etp-aktiv.ru/catalog/materialy/metalloprodukciya/2000467653-U112/","Открыть позицию")</x:f>
        <x:v>Открыть позицию</x:v>
      </x:c>
    </x:row>
    <x:row r="68" ht="28" customHeight="1">
      <x:c r="A68" s="16" t="str">
        <x:v>Беловская ГРЭС</x:v>
      </x:c>
      <x:c r="B68" s="16" t="str">
        <x:v>2000530210-U112</x:v>
      </x:c>
      <x:c r="C68" s="16" t="str">
        <x:v>СЕТКА ПЛЕТЕНАЯ 1 РОМБ 25*1,8 ГОСТ5336</x:v>
      </x:c>
      <x:c r="D68" s="16" t="str">
        <x:v>Метизы специализированные и под заказ</x:v>
      </x:c>
      <x:c r="E68" s="16" t="str">
        <x:v>М2</x:v>
      </x:c>
      <x:c r="F68" s="29" t="n">
        <x:v>95.071</x:v>
      </x:c>
      <x:c r="G68" s="17" t="n">
        <x:v>123.03699999999999</x:v>
      </x:c>
      <x:c r="H68" s="17" t="n">
        <x:f>G68*F68</x:f>
        <x:v>11697.250627</x:v>
      </x:c>
      <x:c r="I68" s="22" t="str">
        <x:f>HYPERLINK("https://etp-aktiv.ru/catalog/materialy/metizy/2000530210-U112/","Открыть позицию")</x:f>
        <x:v>Открыть позицию</x:v>
      </x:c>
    </x:row>
    <x:row r="69" ht="28" customHeight="1">
      <x:c r="A69" s="16" t="str">
        <x:v>Беловская ГРЭС</x:v>
      </x:c>
      <x:c r="B69" s="16" t="str">
        <x:v>2000015428-U112</x:v>
      </x:c>
      <x:c r="C69" s="16" t="str">
        <x:v>ШЕСТИГРАННИК СТ45 19ММ ГОСТ2879-88</x:v>
      </x:c>
      <x:c r="D69" s="16" t="str">
        <x:v>Металлопрокат прочий</x:v>
      </x:c>
      <x:c r="E69" s="16" t="str">
        <x:v>Т</x:v>
      </x:c>
      <x:c r="F69" s="30" t="n">
        <x:v>0.87</x:v>
      </x:c>
      <x:c r="G69" s="17" t="n">
        <x:v>14030</x:v>
      </x:c>
      <x:c r="H69" s="17" t="n">
        <x:f>G69*F69</x:f>
        <x:v>12206.1</x:v>
      </x:c>
      <x:c r="I69" s="22" t="str">
        <x:f>HYPERLINK("https://etp-aktiv.ru/catalog/materialy/metalloprodukciya/2000015428-U112/","Открыть позицию")</x:f>
        <x:v>Открыть позицию</x:v>
      </x:c>
    </x:row>
    <x:row r="70" ht="28" customHeight="1">
      <x:c r="A70" s="16" t="str">
        <x:v>Беловская ГРЭС</x:v>
      </x:c>
      <x:c r="B70" s="16" t="str">
        <x:v>2000015430-U112</x:v>
      </x:c>
      <x:c r="C70" s="16" t="str">
        <x:v>ШЕСТИГРАННИК СТ45 24ММ ГОСТ2879-88</x:v>
      </x:c>
      <x:c r="D70" s="16" t="str">
        <x:v>Металлопрокат прочий</x:v>
      </x:c>
      <x:c r="E70" s="16" t="str">
        <x:v>Т</x:v>
      </x:c>
      <x:c r="F70" s="30" t="n">
        <x:v>0.25</x:v>
      </x:c>
      <x:c r="G70" s="17" t="n">
        <x:v>66903.70199999999</x:v>
      </x:c>
      <x:c r="H70" s="17" t="n">
        <x:f>G70*F70</x:f>
        <x:v>16725.925499999998</x:v>
      </x:c>
      <x:c r="I70" s="22" t="str">
        <x:f>HYPERLINK("https://etp-aktiv.ru/catalog/materialy/metalloprodukciya/2000015430-U112/","Открыть позицию")</x:f>
        <x:v>Открыть позицию</x:v>
      </x:c>
    </x:row>
    <x:row r="71" ht="28" customHeight="1">
      <x:c r="A71" s="16" t="str">
        <x:v>Беловская ГРЭС</x:v>
      </x:c>
      <x:c r="B71" s="16" t="str">
        <x:v>2000015431-U112</x:v>
      </x:c>
      <x:c r="C71" s="16" t="str">
        <x:v>ШЕСТИГРАННИК СТ45 27ММ ГОСТ2879-88</x:v>
      </x:c>
      <x:c r="D71" s="16" t="str">
        <x:v>Металлопрокат прочий</x:v>
      </x:c>
      <x:c r="E71" s="16" t="str">
        <x:v>Т</x:v>
      </x:c>
      <x:c r="F71" s="29" t="n">
        <x:v>1.245</x:v>
      </x:c>
      <x:c r="G71" s="17" t="n">
        <x:v>14030</x:v>
      </x:c>
      <x:c r="H71" s="17" t="n">
        <x:f>G71*F71</x:f>
        <x:v>17467.350000000002</x:v>
      </x:c>
      <x:c r="I71" s="22" t="str">
        <x:f>HYPERLINK("https://etp-aktiv.ru/catalog/materialy/metalloprodukciya/2000015431-U112/","Открыть позицию")</x:f>
        <x:v>Открыть позицию</x:v>
      </x:c>
    </x:row>
    <x:row r="72" ht="28" customHeight="1">
      <x:c r="A72" s="16" t="str">
        <x:v>Беловская ГРЭС</x:v>
      </x:c>
      <x:c r="B72" s="16" t="str">
        <x:v>2000015474-U112</x:v>
      </x:c>
      <x:c r="C72" s="16" t="str">
        <x:v>ШЕСТИГРАННИК СТ45 30ММ ГОСТ2879-88</x:v>
      </x:c>
      <x:c r="D72" s="16" t="str">
        <x:v>Металлопрокат прочий</x:v>
      </x:c>
      <x:c r="E72" s="16" t="str">
        <x:v>Т</x:v>
      </x:c>
      <x:c r="F72" s="30" t="n">
        <x:v>0.124</x:v>
      </x:c>
      <x:c r="G72" s="17" t="n">
        <x:v>46862.9084</x:v>
      </x:c>
      <x:c r="H72" s="17" t="n">
        <x:f>G72*F72</x:f>
        <x:v>5811.0006416</x:v>
      </x:c>
      <x:c r="I72" s="22" t="str">
        <x:f>HYPERLINK("https://etp-aktiv.ru/catalog/materialy/metalloprodukciya/2000015474-U112/","Открыть позицию")</x:f>
        <x:v>Открыть позицию</x:v>
      </x:c>
    </x:row>
    <x:row r="73" ht="28" customHeight="1">
      <x:c r="A73" s="16" t="str">
        <x:v>Беловская ГРЭС</x:v>
      </x:c>
      <x:c r="B73" s="16" t="str">
        <x:v>2000015475-U112</x:v>
      </x:c>
      <x:c r="C73" s="16" t="str">
        <x:v>ШЕСТИГРАННИК СТ45 32ММ ГОСТ2879-88</x:v>
      </x:c>
      <x:c r="D73" s="16" t="str">
        <x:v>Металлопрокат прочий</x:v>
      </x:c>
      <x:c r="E73" s="16" t="str">
        <x:v>Т</x:v>
      </x:c>
      <x:c r="F73" s="30" t="n">
        <x:v>0.348</x:v>
      </x:c>
      <x:c r="G73" s="17" t="n">
        <x:v>57950</x:v>
      </x:c>
      <x:c r="H73" s="17" t="n">
        <x:f>G73*F73</x:f>
        <x:v>20166.6</x:v>
      </x:c>
      <x:c r="I73" s="22" t="str">
        <x:f>HYPERLINK("https://etp-aktiv.ru/catalog/materialy/metalloprodukciya/2000015475-U112/","Открыть позицию")</x:f>
        <x:v>Открыть позицию</x:v>
      </x:c>
    </x:row>
    <x:row r="74" ht="28" customHeight="1">
      <x:c r="A74" s="16" t="str">
        <x:v>Беловская ГРЭС</x:v>
      </x:c>
      <x:c r="B74" s="16" t="str">
        <x:v>2000530344-U112</x:v>
      </x:c>
      <x:c r="C74" s="16" t="str">
        <x:v>ШПИЛЬКА Б2М48.260 ЭП44.IV.2 ГОСТ9066</x:v>
      </x:c>
      <x:c r="D74" s="16" t="str">
        <x:v>Метизы специализированные и под заказ</x:v>
      </x:c>
      <x:c r="E74" s="16" t="str">
        <x:v>ШТ</x:v>
      </x:c>
      <x:c r="F74" s="21" t="n">
        <x:v>32</x:v>
      </x:c>
      <x:c r="G74" s="17" t="n">
        <x:v>3919.86</x:v>
      </x:c>
      <x:c r="H74" s="17" t="n">
        <x:f>G74*F74</x:f>
        <x:v>125435.52</x:v>
      </x:c>
      <x:c r="I74" s="22" t="str">
        <x:f>HYPERLINK("https://etp-aktiv.ru/catalog/materialy/metizy/2000530344-U112/","Открыть позицию")</x:f>
        <x:v>Открыть позицию</x:v>
      </x:c>
    </x:row>
    <x:row r="75" ht="28" customHeight="1">
      <x:c r="A75" s="16" t="str">
        <x:v>Беловская ГРЭС</x:v>
      </x:c>
      <x:c r="B75" s="16" t="str">
        <x:v>2000530351-U112</x:v>
      </x:c>
      <x:c r="C75" s="16" t="str">
        <x:v>ШПИЛЬКА Б2М76*4.420 35.III.2 ГОСТ9066</x:v>
      </x:c>
      <x:c r="D75" s="16" t="str">
        <x:v>Метизы специализированные и под заказ</x:v>
      </x:c>
      <x:c r="E75" s="16" t="str">
        <x:v>ШТ</x:v>
      </x:c>
      <x:c r="F75" s="21" t="n">
        <x:v>2</x:v>
      </x:c>
      <x:c r="G75" s="17" t="n">
        <x:v>6977.972999999999</x:v>
      </x:c>
      <x:c r="H75" s="17" t="n">
        <x:f>G75*F75</x:f>
        <x:v>13955.945999999998</x:v>
      </x:c>
      <x:c r="I75" s="22" t="str">
        <x:f>HYPERLINK("https://etp-aktiv.ru/catalog/materialy/metizy/2000530351-U112/","Открыть позицию")</x:f>
        <x:v>Открыть позицию</x:v>
      </x:c>
    </x:row>
    <x:row r="76" ht="28" customHeight="1">
      <x:c r="A76" s="16" t="str">
        <x:v>Беловская ГРЭС</x:v>
      </x:c>
      <x:c r="B76" s="16" t="str">
        <x:v>2000170734-U112</x:v>
      </x:c>
      <x:c r="C76" s="16" t="str">
        <x:v>ШУРУП-САМОРЕЗ 4,2*19 DIN7997</x:v>
      </x:c>
      <x:c r="D76" s="16" t="str">
        <x:v>Метизы</x:v>
      </x:c>
      <x:c r="E76" s="16" t="str">
        <x:v>ШТ</x:v>
      </x:c>
      <x:c r="F76" s="21" t="n">
        <x:v>50</x:v>
      </x:c>
      <x:c r="G76" s="17" t="n">
        <x:v>1.83</x:v>
      </x:c>
      <x:c r="H76" s="17" t="n">
        <x:f>G76*F76</x:f>
        <x:v>91.5</x:v>
      </x:c>
      <x:c r="I76" s="22" t="str">
        <x:f>HYPERLINK("https://etp-aktiv.ru/catalog/materialy/metizy/2000170734-U112/","Открыть позицию")</x:f>
        <x:v>Открыть позицию</x:v>
      </x:c>
    </x:row>
    <x:row r="77" ht="28" customHeight="1">
      <x:c r="A77" s="16" t="str">
        <x:v>Беловская ГРЭС</x:v>
      </x:c>
      <x:c r="B77" s="16" t="str">
        <x:v>2000015573-U112</x:v>
      </x:c>
      <x:c r="C77" s="16" t="str">
        <x:v>ЭЛЕКТРОД МР-3 4ММ ГОСТ9466-75</x:v>
      </x:c>
      <x:c r="D77" s="16" t="str">
        <x:v>Сварочные электроды</x:v>
      </x:c>
      <x:c r="E77" s="16" t="str">
        <x:v>Т</x:v>
      </x:c>
      <x:c r="F77" s="29" t="n">
        <x:v>2.568</x:v>
      </x:c>
      <x:c r="G77" s="17" t="n">
        <x:v>110950.74059999999</x:v>
      </x:c>
      <x:c r="H77" s="17" t="n">
        <x:f>G77*F77</x:f>
        <x:v>284921.50186079997</x:v>
      </x:c>
      <x:c r="I77" s="22" t="str">
        <x:f>HYPERLINK("https://etp-aktiv.ru/catalog/materialy/svarochnye-ehlektrody/2000015573-U112/","Открыть позицию")</x:f>
        <x:v>Открыть позицию</x:v>
      </x:c>
    </x:row>
    <x:row r="78" ht="28" customHeight="1">
      <x:c r="A78" s="16" t="str">
        <x:v>Беловская ГРЭС</x:v>
      </x:c>
      <x:c r="B78" s="16" t="str">
        <x:v>2000740550-U112</x:v>
      </x:c>
      <x:c r="C78" s="16" t="str">
        <x:v>ЭЛЕКТРОД МР-3 4ММ ГОСТ9466-75 (КГ)</x:v>
      </x:c>
      <x:c r="D78" s="16" t="str">
        <x:v>Сварочные электроды</x:v>
      </x:c>
      <x:c r="E78" s="16" t="str">
        <x:v>КГ</x:v>
      </x:c>
      <x:c r="F78" s="21" t="n">
        <x:v>10</x:v>
      </x:c>
      <x:c r="G78" s="17" t="n">
        <x:v>93.92779999999999</x:v>
      </x:c>
      <x:c r="H78" s="17" t="n">
        <x:f>G78*F78</x:f>
        <x:v>939.2779999999999</x:v>
      </x:c>
      <x:c r="I78" s="22" t="str">
        <x:f>HYPERLINK("https://etp-aktiv.ru/catalog/materialy/svarochnye-ehlektrody/2000740550-U112/","Открыть позицию")</x:f>
        <x:v>Открыть позицию</x:v>
      </x:c>
    </x:row>
    <x:row r="79" ht="28" customHeight="1">
      <x:c r="A79" s="16" t="str">
        <x:v>Беловская ГРЭС</x:v>
      </x:c>
      <x:c r="B79" s="16" t="str">
        <x:v>2000046860-U112</x:v>
      </x:c>
      <x:c r="C79" s="16" t="str">
        <x:v>ЭЛЕКТРОД ОЗЛ-6 4ММ ГОСТ9466-75</x:v>
      </x:c>
      <x:c r="D79" s="16" t="str">
        <x:v>Сварочные электроды</x:v>
      </x:c>
      <x:c r="E79" s="16" t="str">
        <x:v>Т</x:v>
      </x:c>
      <x:c r="F79" s="30" t="n">
        <x:v>0.05</x:v>
      </x:c>
      <x:c r="G79" s="17" t="n">
        <x:v>840514.9739999999</x:v>
      </x:c>
      <x:c r="H79" s="17" t="n">
        <x:f>G79*F79</x:f>
        <x:v>42025.7487</x:v>
      </x:c>
      <x:c r="I79" s="22" t="str">
        <x:f>HYPERLINK("https://etp-aktiv.ru/catalog/materialy/svarochnye-ehlektrody/2000046860-U112/","Открыть позицию")</x:f>
        <x:v>Открыть позицию</x:v>
      </x:c>
    </x:row>
    <x:row r="80" ht="28" customHeight="1">
      <x:c r="A80" s="16" t="str">
        <x:v>Беловская ГРЭС</x:v>
      </x:c>
      <x:c r="B80" s="16" t="str">
        <x:v>2000546292-U112</x:v>
      </x:c>
      <x:c r="C80" s="16" t="str">
        <x:v>ЭЛЕКТРОД ОК 48.00 4ММ ISO2560-A</x:v>
      </x:c>
      <x:c r="D80" s="16" t="str">
        <x:v>Сварочные электроды</x:v>
      </x:c>
      <x:c r="E80" s="16" t="str">
        <x:v>КГ</x:v>
      </x:c>
      <x:c r="F80" s="29" t="n">
        <x:v>338.6</x:v>
      </x:c>
      <x:c r="G80" s="17" t="n">
        <x:v>271.2304</x:v>
      </x:c>
      <x:c r="H80" s="17" t="n">
        <x:f>G80*F80</x:f>
        <x:v>91838.61344</x:v>
      </x:c>
      <x:c r="I80" s="22" t="str">
        <x:f>HYPERLINK("https://etp-aktiv.ru/catalog/materialy/svarochnye-ehlektrody/2000546292-U112/","Открыть позицию")</x:f>
        <x:v>Открыть позицию</x:v>
      </x:c>
    </x:row>
    <x:row r="81" ht="28" customHeight="1">
      <x:c r="A81" s="16" t="str">
        <x:v>Беловская ГРЭС</x:v>
      </x:c>
      <x:c r="B81" s="16" t="str">
        <x:v>2000223037-U112</x:v>
      </x:c>
      <x:c r="C81" s="16" t="str">
        <x:v>ЭЛЕКТРОД ОК 53.70 2,5ММ ГОСТ9467-75</x:v>
      </x:c>
      <x:c r="D81" s="16" t="str">
        <x:v>Сварочные электроды</x:v>
      </x:c>
      <x:c r="E81" s="16" t="str">
        <x:v>Т</x:v>
      </x:c>
      <x:c r="F81" s="30" t="n">
        <x:v>0.003</x:v>
      </x:c>
      <x:c r="G81" s="17" t="n">
        <x:v>370663.45</x:v>
      </x:c>
      <x:c r="H81" s="17" t="n">
        <x:f>G81*F81</x:f>
        <x:v>1111.99035</x:v>
      </x:c>
      <x:c r="I81" s="22" t="str">
        <x:f>HYPERLINK("https://etp-aktiv.ru/catalog/materialy/svarochnye-ehlektrody/2000223037-U112/","Открыть позицию")</x:f>
        <x:v>Открыть позицию</x:v>
      </x:c>
    </x:row>
    <x:row r="82" ht="28" customHeight="1">
      <x:c r="A82" s="16" t="str">
        <x:v>Беловская ГРЭС</x:v>
      </x:c>
      <x:c r="B82" s="16" t="str">
        <x:v>2000691998-U112</x:v>
      </x:c>
      <x:c r="C82" s="16" t="str">
        <x:v>ЭЛЕКТРОД ОК67.62 2,5ММ ISO3581-A</x:v>
      </x:c>
      <x:c r="D82" s="16" t="str">
        <x:v>Сварочные электроды</x:v>
      </x:c>
      <x:c r="E82" s="16" t="str">
        <x:v>КГ</x:v>
      </x:c>
      <x:c r="F82" s="21" t="n">
        <x:v>8</x:v>
      </x:c>
      <x:c r="G82" s="17" t="n">
        <x:v>1418.25</x:v>
      </x:c>
      <x:c r="H82" s="17" t="n">
        <x:f>G82*F82</x:f>
        <x:v>11346</x:v>
      </x:c>
      <x:c r="I82" s="22" t="str">
        <x:f>HYPERLINK("https://etp-aktiv.ru/catalog/materialy/svarochnye-ehlektrody/2000691998-U112/","Открыть позицию")</x:f>
        <x:v>Открыть позицию</x:v>
      </x:c>
    </x:row>
    <x:row r="83" ht="28" customHeight="1">
      <x:c r="A83" s="16" t="str">
        <x:v>Беловская ГРЭС</x:v>
      </x:c>
      <x:c r="B83" s="16" t="str">
        <x:v>2000692020-U112</x:v>
      </x:c>
      <x:c r="C83" s="16" t="str">
        <x:v>ЭЛЕКТРОД ОК76.28 2,5ММ ISO3580-A</x:v>
      </x:c>
      <x:c r="D83" s="16" t="str">
        <x:v>Сварочные электроды</x:v>
      </x:c>
      <x:c r="E83" s="16" t="str">
        <x:v>КГ</x:v>
      </x:c>
      <x:c r="F83" s="21" t="n">
        <x:v>6</x:v>
      </x:c>
      <x:c r="G83" s="17" t="n">
        <x:v>604.8272</x:v>
      </x:c>
      <x:c r="H83" s="17" t="n">
        <x:f>G83*F83</x:f>
        <x:v>3628.9631999999997</x:v>
      </x:c>
      <x:c r="I83" s="22" t="str">
        <x:f>HYPERLINK("https://etp-aktiv.ru/catalog/materialy/svarochnye-ehlektrody/2000692020-U112/","Открыть позицию")</x:f>
        <x:v>Открыть позицию</x:v>
      </x:c>
    </x:row>
    <x:row r="84" ht="28" customHeight="1">
      <x:c r="A84" s="16" t="str">
        <x:v>Беловская ГРЭС</x:v>
      </x:c>
      <x:c r="B84" s="16" t="str">
        <x:v>2000858624-U112</x:v>
      </x:c>
      <x:c r="C84" s="16" t="str">
        <x:v>ЭЛЕКТРОД ТМЛ 1У 4ММ ГОСТ9466-75 (КГ)</x:v>
      </x:c>
      <x:c r="D84" s="16" t="str">
        <x:v>Сварочные электроды</x:v>
      </x:c>
      <x:c r="E84" s="16" t="str">
        <x:v>КГ</x:v>
      </x:c>
      <x:c r="F84" s="29" t="n">
        <x:v>3.5</x:v>
      </x:c>
      <x:c r="G84" s="17" t="n">
        <x:v>187.67260000000002</x:v>
      </x:c>
      <x:c r="H84" s="17" t="n">
        <x:f>G84*F84</x:f>
        <x:v>656.8541</x:v>
      </x:c>
      <x:c r="I84" s="22" t="str">
        <x:f>HYPERLINK("https://etp-aktiv.ru/catalog/materialy/svarochnye-ehlektrody/2000858624-U112/","Открыть позицию")</x:f>
        <x:v>Открыть позицию</x:v>
      </x:c>
    </x:row>
    <x:row r="85" ht="28" customHeight="1">
      <x:c r="A85" s="16" t="str">
        <x:v>Беловская ГРЭС</x:v>
      </x:c>
      <x:c r="B85" s="16" t="str">
        <x:v>2000137763-U112</x:v>
      </x:c>
      <x:c r="C85" s="16" t="str">
        <x:v>ЭЛЕКТРОД ТМЛ-3У 4ММ ТУ1272-022-0105589</x:v>
      </x:c>
      <x:c r="D85" s="16" t="str">
        <x:v>Сварочные электроды</x:v>
      </x:c>
      <x:c r="E85" s="16" t="str">
        <x:v>Т</x:v>
      </x:c>
      <x:c r="F85" s="30" t="n">
        <x:v>0.357</x:v>
      </x:c>
      <x:c r="G85" s="17" t="n">
        <x:v>200294.62240000002</x:v>
      </x:c>
      <x:c r="H85" s="17" t="n">
        <x:f>G85*F85</x:f>
        <x:v>71505.1801968</x:v>
      </x:c>
      <x:c r="I85" s="22" t="str">
        <x:f>HYPERLINK("https://etp-aktiv.ru/catalog/materialy/svarochnye-ehlektrody/2000137763-U112/","Открыть позицию")</x:f>
        <x:v>Открыть позицию</x:v>
      </x:c>
    </x:row>
    <x:row r="86" ht="28" customHeight="1">
      <x:c r="A86" s="16" t="str">
        <x:v>Беловская ГРЭС</x:v>
      </x:c>
      <x:c r="B86" s="16" t="str">
        <x:v>2000142152-U112</x:v>
      </x:c>
      <x:c r="C86" s="16" t="str">
        <x:v>ЭЛЕКТРОД ТМУ-21У 3ММ ГОСТ9466-75</x:v>
      </x:c>
      <x:c r="D86" s="16" t="str">
        <x:v>Сварочные электроды</x:v>
      </x:c>
      <x:c r="E86" s="16" t="str">
        <x:v>Т</x:v>
      </x:c>
      <x:c r="F86" s="30" t="n">
        <x:v>0.015</x:v>
      </x:c>
      <x:c r="G86" s="17" t="n">
        <x:v>85329.84999999999</x:v>
      </x:c>
      <x:c r="H86" s="17" t="n">
        <x:f>G86*F86</x:f>
        <x:v>1279.9477499999998</x:v>
      </x:c>
      <x:c r="I86" s="22" t="str">
        <x:f>HYPERLINK("https://etp-aktiv.ru/catalog/materialy/svarochnye-ehlektrody/2000142152-U112/","Открыть позицию")</x:f>
        <x:v>Открыть позицию</x:v>
      </x:c>
    </x:row>
    <x:row r="87" ht="28" customHeight="1">
      <x:c r="A87" s="16" t="str">
        <x:v>Беловская ГРЭС</x:v>
      </x:c>
      <x:c r="B87" s="16" t="str">
        <x:v>2000068192-U112</x:v>
      </x:c>
      <x:c r="C87" s="16" t="str">
        <x:v>ЭЛЕКТРОД ТМУ-21У 4ММ ГОСТ9466-75</x:v>
      </x:c>
      <x:c r="D87" s="16" t="str">
        <x:v>Сварочные электроды</x:v>
      </x:c>
      <x:c r="E87" s="16" t="str">
        <x:v>Т</x:v>
      </x:c>
      <x:c r="F87" s="30" t="n">
        <x:v>0.329</x:v>
      </x:c>
      <x:c r="G87" s="17" t="n">
        <x:v>98466.5416</x:v>
      </x:c>
      <x:c r="H87" s="17" t="n">
        <x:f>G87*F87</x:f>
        <x:v>32395.4921864</x:v>
      </x:c>
      <x:c r="I87" s="22" t="str">
        <x:f>HYPERLINK("https://etp-aktiv.ru/catalog/materialy/svarochnye-ehlektrody/2000068192-U112/","Открыть позицию")</x:f>
        <x:v>Открыть позицию</x:v>
      </x:c>
    </x:row>
    <x:row r="88" ht="28" customHeight="1">
      <x:c r="A88" s="16" t="str">
        <x:v>Беловская ГРЭС</x:v>
      </x:c>
      <x:c r="B88" s="16" t="str">
        <x:v>2000546305-U112</x:v>
      </x:c>
      <x:c r="C88" s="16" t="str">
        <x:v>ЭЛЕКТРОД УОНИ 13/45 3ММ ГОСТ9466-75</x:v>
      </x:c>
      <x:c r="D88" s="16" t="str">
        <x:v>Сварочные электроды</x:v>
      </x:c>
      <x:c r="E88" s="16" t="str">
        <x:v>КГ</x:v>
      </x:c>
      <x:c r="F88" s="29" t="n">
        <x:v>67.45</x:v>
      </x:c>
      <x:c r="G88" s="17" t="n">
        <x:v>112.49619999999999</x:v>
      </x:c>
      <x:c r="H88" s="17" t="n">
        <x:f>G88*F88</x:f>
        <x:v>7587.868689999999</x:v>
      </x:c>
      <x:c r="I88" s="22" t="str">
        <x:f>HYPERLINK("https://etp-aktiv.ru/catalog/materialy/svarochnye-ehlektrody/2000546305-U112/","Открыть позицию")</x:f>
        <x:v>Открыть позицию</x:v>
      </x:c>
    </x:row>
    <x:row r="89" ht="28" customHeight="1">
      <x:c r="A89" s="16" t="str">
        <x:v>Беловская ГРЭС</x:v>
      </x:c>
      <x:c r="B89" s="16" t="str">
        <x:v>2000017996-U112</x:v>
      </x:c>
      <x:c r="C89" s="16" t="str">
        <x:v>ЭЛЕКТРОД ЦЛ-11 4ММ ГОСТ9466-75</x:v>
      </x:c>
      <x:c r="D89" s="16" t="str">
        <x:v>Сварочные электроды</x:v>
      </x:c>
      <x:c r="E89" s="16" t="str">
        <x:v>Т</x:v>
      </x:c>
      <x:c r="F89" s="30" t="n">
        <x:v>0.014</x:v>
      </x:c>
      <x:c r="G89" s="17" t="n">
        <x:v>518500</x:v>
      </x:c>
      <x:c r="H89" s="17" t="n">
        <x:f>G89*F89</x:f>
        <x:v>7259</x:v>
      </x:c>
      <x:c r="I89" s="22" t="str">
        <x:f>HYPERLINK("https://etp-aktiv.ru/catalog/materialy/svarochnye-ehlektrody/2000017996-U112/","Открыть позицию")</x:f>
        <x:v>Открыть позицию</x:v>
      </x:c>
    </x:row>
    <x:row r="90" ht="28" customHeight="1">
      <x:c r="A90" s="16" t="str">
        <x:v>Беловская ГРЭС</x:v>
      </x:c>
      <x:c r="B90" s="16" t="str">
        <x:v>2000546319-U112</x:v>
      </x:c>
      <x:c r="C90" s="16" t="str">
        <x:v>ЭЛЕКТРОД ЦЛ-39 2,5ММ ГОСТ9466-75</x:v>
      </x:c>
      <x:c r="D90" s="16" t="str">
        <x:v>Сварочные электроды</x:v>
      </x:c>
      <x:c r="E90" s="16" t="str">
        <x:v>КГ</x:v>
      </x:c>
      <x:c r="F90" s="21" t="n">
        <x:v>8</x:v>
      </x:c>
      <x:c r="G90" s="17" t="n">
        <x:v>218.90460000000002</x:v>
      </x:c>
      <x:c r="H90" s="17" t="n">
        <x:f>G90*F90</x:f>
        <x:v>1751.2368000000001</x:v>
      </x:c>
      <x:c r="I90" s="22" t="str">
        <x:f>HYPERLINK("https://etp-aktiv.ru/catalog/materialy/svarochnye-ehlektrody/2000546319-U112/","Открыть позицию")</x:f>
        <x:v>Открыть позицию</x:v>
      </x:c>
    </x:row>
    <x:row r="91" ht="28" customHeight="1">
      <x:c r="A91" s="16" t="str">
        <x:v>Беловская ГРЭС</x:v>
      </x:c>
      <x:c r="B91" s="16" t="str">
        <x:v>2000546321-U112</x:v>
      </x:c>
      <x:c r="C91" s="16" t="str">
        <x:v>ЭЛЕКТРОД ЦЛ-39 4ММ ГОСТ9466-75</x:v>
      </x:c>
      <x:c r="D91" s="16" t="str">
        <x:v>Сварочные электроды</x:v>
      </x:c>
      <x:c r="E91" s="16" t="str">
        <x:v>КГ</x:v>
      </x:c>
      <x:c r="F91" s="29" t="n">
        <x:v>207.6</x:v>
      </x:c>
      <x:c r="G91" s="17" t="n">
        <x:v>209.12019999999998</x:v>
      </x:c>
      <x:c r="H91" s="17" t="n">
        <x:f>G91*F91</x:f>
        <x:v>43413.35352</x:v>
      </x:c>
      <x:c r="I91" s="22" t="str">
        <x:f>HYPERLINK("https://etp-aktiv.ru/catalog/materialy/svarochnye-ehlektrody/2000546321-U112/","Открыть позицию")</x:f>
        <x:v>Открыть позицию</x:v>
      </x:c>
    </x:row>
    <x:row r="92" ht="28" customHeight="1">
      <x:c r="A92" s="16" t="str">
        <x:v>Беловская ГРЭС</x:v>
      </x:c>
      <x:c r="B92" s="16" t="str">
        <x:v>2000546325-U112</x:v>
      </x:c>
      <x:c r="C92" s="16" t="str">
        <x:v>ЭЛЕКТРОД ЦТ-15 2,5ММ ГОСТ9466-75</x:v>
      </x:c>
      <x:c r="D92" s="16" t="str">
        <x:v>Сварочные электроды</x:v>
      </x:c>
      <x:c r="E92" s="16" t="str">
        <x:v>КГ</x:v>
      </x:c>
      <x:c r="F92" s="21" t="n">
        <x:v>19</x:v>
      </x:c>
      <x:c r="G92" s="17" t="n">
        <x:v>1106.7962</x:v>
      </x:c>
      <x:c r="H92" s="17" t="n">
        <x:f>G92*F92</x:f>
        <x:v>21029.1278</x:v>
      </x:c>
      <x:c r="I92" s="22" t="str">
        <x:f>HYPERLINK("https://etp-aktiv.ru/catalog/materialy/svarochnye-ehlektrody/2000546325-U112/","Открыть позицию")</x:f>
        <x:v>Открыть позицию</x:v>
      </x:c>
    </x:row>
    <x:row r="93" ht="28" customHeight="1">
      <x:c r="A93" s="16" t="str">
        <x:v>Беловская ГРЭС</x:v>
      </x:c>
      <x:c r="B93" s="16" t="str">
        <x:v>2000761388-U112</x:v>
      </x:c>
      <x:c r="C93" s="16" t="str">
        <x:v>ЭЛЕКТРОД ЦТ-15 4ММ ГОСТ10052–75 КГ</x:v>
      </x:c>
      <x:c r="D93" s="16" t="str">
        <x:v>Сварочные электроды</x:v>
      </x:c>
      <x:c r="E93" s="16" t="str">
        <x:v>КГ</x:v>
      </x:c>
      <x:c r="F93" s="21" t="n">
        <x:v>5</x:v>
      </x:c>
      <x:c r="G93" s="17" t="n">
        <x:v>525.21</x:v>
      </x:c>
      <x:c r="H93" s="17" t="n">
        <x:f>G93*F93</x:f>
        <x:v>2626.05</x:v>
      </x:c>
      <x:c r="I93" s="22" t="str">
        <x:f>HYPERLINK("https://etp-aktiv.ru/catalog/materialy/svarochnye-ehlektrody/2000761388-U112/","Открыть позицию")</x:f>
        <x:v>Открыть позицию</x:v>
      </x:c>
    </x:row>
    <x:row r="94" ht="28" customHeight="1">
      <x:c r="A94" s="16" t="str">
        <x:v>Беловская ГРЭС</x:v>
      </x:c>
      <x:c r="B94" s="16" t="str">
        <x:v>2000546330-U112</x:v>
      </x:c>
      <x:c r="C94" s="16" t="str">
        <x:v>ЭЛЕКТРОД ЦУ-5 2,5ММ ГОСТ9466-75</x:v>
      </x:c>
      <x:c r="D94" s="16" t="str">
        <x:v>Сварочные электроды</x:v>
      </x:c>
      <x:c r="E94" s="16" t="str">
        <x:v>КГ</x:v>
      </x:c>
      <x:c r="F94" s="21" t="n">
        <x:v>12</x:v>
      </x:c>
      <x:c r="G94" s="17" t="n">
        <x:v>110.9224</x:v>
      </x:c>
      <x:c r="H94" s="17" t="n">
        <x:f>G94*F94</x:f>
        <x:v>1331.0688</x:v>
      </x:c>
      <x:c r="I94" s="22" t="str">
        <x:f>HYPERLINK("https://etp-aktiv.ru/catalog/materialy/svarochnye-ehlektrody/2000546330-U112/","Открыть позицию")</x:f>
        <x:v>Открыть позицию</x:v>
      </x:c>
    </x:row>
    <x:row r="95" ht="28" customHeight="1">
      <x:c r="A95" s="16" t="str">
        <x:v>Беловская ГРЭС</x:v>
      </x:c>
      <x:c r="B95" s="16" t="str">
        <x:v>2000590853-U112</x:v>
      </x:c>
      <x:c r="C95" s="16" t="str">
        <x:v>ЭЛЕКТРОДЫ СВАРОЧНЫЕ УОНИ 13/55К 3,0 Э46А</x:v>
      </x:c>
      <x:c r="D95" s="16" t="str">
        <x:v>Сварочные электроды</x:v>
      </x:c>
      <x:c r="E95" s="16" t="str">
        <x:v>КГ</x:v>
      </x:c>
      <x:c r="F95" s="21" t="n">
        <x:v>1</x:v>
      </x:c>
      <x:c r="G95" s="17" t="n">
        <x:v>133.285</x:v>
      </x:c>
      <x:c r="H95" s="17" t="n">
        <x:f>G95*F95</x:f>
        <x:v>133.285</x:v>
      </x:c>
      <x:c r="I95" s="22" t="str">
        <x:f>HYPERLINK("https://etp-aktiv.ru/catalog/materialy/svarochnye-ehlektrody/2000590853-U112/","Открыть позицию")</x:f>
        <x:v>Открыть позицию</x:v>
      </x:c>
    </x:row>
    <x:row r="96" ht="28" customHeight="1">
      <x:c r="A96" s="16" t="str">
        <x:v>Кемеровская ГРЭС</x:v>
      </x:c>
      <x:c r="B96" s="16" t="str">
        <x:v>M2000068383-U311</x:v>
      </x:c>
      <x:c r="C96" s="16" t="str">
        <x:v>БОЛТ М10*25 ГОСТ7805-70</x:v>
      </x:c>
      <x:c r="D96" s="16" t="str">
        <x:v>Метизы</x:v>
      </x:c>
      <x:c r="E96" s="16" t="str">
        <x:v>КГ</x:v>
      </x:c>
      <x:c r="F96" s="29" t="n">
        <x:v>45.6</x:v>
      </x:c>
      <x:c r="G96" s="17" t="n">
        <x:v>14.03</x:v>
      </x:c>
      <x:c r="H96" s="17" t="n">
        <x:f>G96*F96</x:f>
        <x:v>639.768</x:v>
      </x:c>
      <x:c r="I96" s="22" t="str">
        <x:f>HYPERLINK("https://etp-aktiv.ru/catalog/materialy/metizy/M2000068383-U311/","Открыть позицию")</x:f>
        <x:v>Открыть позицию</x:v>
      </x:c>
    </x:row>
    <x:row r="97" ht="28" customHeight="1">
      <x:c r="A97" s="16" t="str">
        <x:v>Кемеровская ГРЭС</x:v>
      </x:c>
      <x:c r="B97" s="16" t="str">
        <x:v>M2000068384-U311</x:v>
      </x:c>
      <x:c r="C97" s="16" t="str">
        <x:v>БОЛТ М10*30 ГОСТ7805-70</x:v>
      </x:c>
      <x:c r="D97" s="16" t="str">
        <x:v>Метизы</x:v>
      </x:c>
      <x:c r="E97" s="16" t="str">
        <x:v>КГ</x:v>
      </x:c>
      <x:c r="F97" s="29" t="n">
        <x:v>9.5</x:v>
      </x:c>
      <x:c r="G97" s="17" t="n">
        <x:v>14.03</x:v>
      </x:c>
      <x:c r="H97" s="17" t="n">
        <x:f>G97*F97</x:f>
        <x:v>133.285</x:v>
      </x:c>
      <x:c r="I97" s="22" t="str">
        <x:f>HYPERLINK("https://etp-aktiv.ru/catalog/materialy/metizy/M2000068384-U311/","Открыть позицию")</x:f>
        <x:v>Открыть позицию</x:v>
      </x:c>
    </x:row>
    <x:row r="98" ht="28" customHeight="1">
      <x:c r="A98" s="16" t="str">
        <x:v>Кемеровская ГРЭС</x:v>
      </x:c>
      <x:c r="B98" s="16" t="str">
        <x:v>M2000068404-U311</x:v>
      </x:c>
      <x:c r="C98" s="16" t="str">
        <x:v>БОЛТ М12*35 ГОСТ7805-70</x:v>
      </x:c>
      <x:c r="D98" s="16" t="str">
        <x:v>Метизы</x:v>
      </x:c>
      <x:c r="E98" s="16" t="str">
        <x:v>КГ</x:v>
      </x:c>
      <x:c r="F98" s="29" t="n">
        <x:v>63.66</x:v>
      </x:c>
      <x:c r="G98" s="17" t="n">
        <x:v>14.03</x:v>
      </x:c>
      <x:c r="H98" s="17" t="n">
        <x:f>G98*F98</x:f>
        <x:v>893.1497999999999</x:v>
      </x:c>
      <x:c r="I98" s="22" t="str">
        <x:f>HYPERLINK("https://etp-aktiv.ru/catalog/materialy/metizy/M2000068404-U311/","Открыть позицию")</x:f>
        <x:v>Открыть позицию</x:v>
      </x:c>
    </x:row>
    <x:row r="99" ht="28" customHeight="1">
      <x:c r="A99" s="16" t="str">
        <x:v>Кемеровская ГРЭС</x:v>
      </x:c>
      <x:c r="B99" s="16" t="str">
        <x:v>M2000068373-U311</x:v>
      </x:c>
      <x:c r="C99" s="16" t="str">
        <x:v>БОЛТ М8*25 ГОСТ7805-70</x:v>
      </x:c>
      <x:c r="D99" s="16" t="str">
        <x:v>Метизы</x:v>
      </x:c>
      <x:c r="E99" s="16" t="str">
        <x:v>КГ</x:v>
      </x:c>
      <x:c r="F99" s="30" t="n">
        <x:v>0.5</x:v>
      </x:c>
      <x:c r="G99" s="17" t="n">
        <x:v>14.03</x:v>
      </x:c>
      <x:c r="H99" s="17" t="n">
        <x:f>G99*F99</x:f>
        <x:v>7.015</x:v>
      </x:c>
      <x:c r="I99" s="22" t="str">
        <x:f>HYPERLINK("https://etp-aktiv.ru/catalog/materialy/metizy/M2000068373-U311/","Открыть позицию")</x:f>
        <x:v>Открыть позицию</x:v>
      </x:c>
    </x:row>
    <x:row r="100" ht="28" customHeight="1">
      <x:c r="A100" s="16" t="str">
        <x:v>Кемеровская ГРЭС</x:v>
      </x:c>
      <x:c r="B100" s="16" t="str">
        <x:v>M2000002615-U311</x:v>
      </x:c>
      <x:c r="C100" s="16" t="str">
        <x:v>ГАЙКА М8 ГОСТ5915-70</x:v>
      </x:c>
      <x:c r="D100" s="16" t="str">
        <x:v>Метизы</x:v>
      </x:c>
      <x:c r="E100" s="16" t="str">
        <x:v>КГ</x:v>
      </x:c>
      <x:c r="F100" s="30" t="n">
        <x:v>0.5</x:v>
      </x:c>
      <x:c r="G100" s="17" t="n">
        <x:v>14.03</x:v>
      </x:c>
      <x:c r="H100" s="17" t="n">
        <x:f>G100*F100</x:f>
        <x:v>7.015</x:v>
      </x:c>
      <x:c r="I100" s="22" t="str">
        <x:f>HYPERLINK("https://etp-aktiv.ru/catalog/materialy/metizy/M2000002615-U311/","Открыть позицию")</x:f>
        <x:v>Открыть позицию</x:v>
      </x:c>
    </x:row>
    <x:row r="101" ht="28" customHeight="1">
      <x:c r="A101" s="16" t="str">
        <x:v>Кемеровская ГРЭС</x:v>
      </x:c>
      <x:c r="B101" s="16" t="str">
        <x:v>2000014897-U311</x:v>
      </x:c>
      <x:c r="C101" s="16" t="str">
        <x:v>КРУГ СТ3 D80ММ ГОСТ2590-2006</x:v>
      </x:c>
      <x:c r="D101" s="16" t="str">
        <x:v>М/прокат прочий</x:v>
      </x:c>
      <x:c r="E101" s="16" t="str">
        <x:v>Т</x:v>
      </x:c>
      <x:c r="F101" s="30" t="n">
        <x:v>0.012</x:v>
      </x:c>
      <x:c r="G101" s="17" t="n">
        <x:v>14030</x:v>
      </x:c>
      <x:c r="H101" s="17" t="n">
        <x:f>G101*F101</x:f>
        <x:v>168.36</x:v>
      </x:c>
      <x:c r="I101" s="22" t="str">
        <x:f>HYPERLINK("https://etp-aktiv.ru/catalog/materialy/metalloprodukciya/2000014897-U311/","Открыть позицию")</x:f>
        <x:v>Открыть позицию</x:v>
      </x:c>
    </x:row>
    <x:row r="102" ht="28" customHeight="1">
      <x:c r="A102" s="16" t="str">
        <x:v>Кемеровская ГРЭС</x:v>
      </x:c>
      <x:c r="B102" s="16" t="str">
        <x:v>2000556284-U311</x:v>
      </x:c>
      <x:c r="C102" s="16" t="str">
        <x:v>ПРОВОЛОКА С-2 D2ММ ТУ48-21-792-85</x:v>
      </x:c>
      <x:c r="D102" s="16" t="str">
        <x:v>М/прокат цветной</x:v>
      </x:c>
      <x:c r="E102" s="16" t="str">
        <x:v>КГ</x:v>
      </x:c>
      <x:c r="F102" s="21" t="n">
        <x:v>36</x:v>
      </x:c>
      <x:c r="G102" s="17" t="n">
        <x:v>128.1</x:v>
      </x:c>
      <x:c r="H102" s="17" t="n">
        <x:f>G102*F102</x:f>
        <x:v>4611.599999999999</x:v>
      </x:c>
      <x:c r="I102" s="22" t="str">
        <x:f>HYPERLINK("https://etp-aktiv.ru/catalog/materialy/metalloprodukciya/2000556284-U311/","Открыть позицию")</x:f>
        <x:v>Открыть позицию</x:v>
      </x:c>
    </x:row>
    <x:row r="103" ht="28" customHeight="1">
      <x:c r="A103" s="16" t="str">
        <x:v>Кемеровская ГРЭС</x:v>
      </x:c>
      <x:c r="B103" s="16" t="str">
        <x:v>2000155655-U311</x:v>
      </x:c>
      <x:c r="C103" s="16" t="str">
        <x:v>РЕЗЕРВУАР РГСП-25М3 СТ3СП5 2ЛИНИИ ВЫДАЧИ</x:v>
      </x:c>
      <x:c r="D103" s="16" t="str">
        <x:v>Металлоконструкции</x:v>
      </x:c>
      <x:c r="E103" s="16" t="str">
        <x:v>ШТ</x:v>
      </x:c>
      <x:c r="F103" s="21" t="n">
        <x:v>1</x:v>
      </x:c>
      <x:c r="G103" s="17" t="n">
        <x:v>67141.9436</x:v>
      </x:c>
      <x:c r="H103" s="17" t="n">
        <x:f>G103*F103</x:f>
        <x:v>67141.9436</x:v>
      </x:c>
      <x:c r="I103" s="22" t="str">
        <x:f>HYPERLINK("https://etp-aktiv.ru/catalog/materialy/metallokonstrukcii/2000155655-U311/","Открыть позицию")</x:f>
        <x:v>Открыть позицию</x:v>
      </x:c>
    </x:row>
    <x:row r="104" ht="28" customHeight="1">
      <x:c r="A104" s="16" t="str">
        <x:v>Кемеровская ГРЭС</x:v>
      </x:c>
      <x:c r="B104" s="16" t="str">
        <x:v>2000555864-U311</x:v>
      </x:c>
      <x:c r="C104" s="16" t="str">
        <x:v>УГОЛОК СТ3 160*12 ГОСТ8509-93</x:v>
      </x:c>
      <x:c r="D104" s="16" t="str">
        <x:v>М/прокат прочий</x:v>
      </x:c>
      <x:c r="E104" s="16" t="str">
        <x:v>Т</x:v>
      </x:c>
      <x:c r="F104" s="30" t="n">
        <x:v>0.028</x:v>
      </x:c>
      <x:c r="G104" s="17" t="n">
        <x:v>14030</x:v>
      </x:c>
      <x:c r="H104" s="17" t="n">
        <x:f>G104*F104</x:f>
        <x:v>392.84000000000003</x:v>
      </x:c>
      <x:c r="I104" s="22" t="str">
        <x:f>HYPERLINK("https://etp-aktiv.ru/catalog/materialy/metalloprodukciya/2000555864-U311/","Открыть позицию")</x:f>
        <x:v>Открыть позицию</x:v>
      </x:c>
    </x:row>
    <x:row r="105" ht="28" customHeight="1">
      <x:c r="A105" s="16" t="str">
        <x:v>Кемеровская ГРЭС</x:v>
      </x:c>
      <x:c r="B105" s="16" t="str">
        <x:v>2000068579-U311</x:v>
      </x:c>
      <x:c r="C105" s="16" t="str">
        <x:v>ШАЙБА М27 ГРОВЕР ГОСТ6402-70</x:v>
      </x:c>
      <x:c r="D105" s="16" t="str">
        <x:v>Метизы</x:v>
      </x:c>
      <x:c r="E105" s="16" t="str">
        <x:v>КГ</x:v>
      </x:c>
      <x:c r="F105" s="29" t="n">
        <x:v>9.5</x:v>
      </x:c>
      <x:c r="G105" s="17" t="n">
        <x:v>19.5444</x:v>
      </x:c>
      <x:c r="H105" s="17" t="n">
        <x:f>G105*F105</x:f>
        <x:v>185.6718</x:v>
      </x:c>
      <x:c r="I105" s="22" t="str">
        <x:f>HYPERLINK("https://etp-aktiv.ru/catalog/materialy/metizy/2000068579-U311/","Открыть позицию")</x:f>
        <x:v>Открыть позицию</x:v>
      </x:c>
    </x:row>
    <x:row r="106" ht="28" customHeight="1">
      <x:c r="A106" s="16" t="str">
        <x:v>Кемеровская ГРЭС</x:v>
      </x:c>
      <x:c r="B106" s="16" t="str">
        <x:v>2000530357-U311</x:v>
      </x:c>
      <x:c r="C106" s="16" t="str">
        <x:v>ШПИЛЬКА БМ60*4-6G.500 ЭП182.IV ГОСТ9066</x:v>
      </x:c>
      <x:c r="D106" s="16" t="str">
        <x:v>Метизы</x:v>
      </x:c>
      <x:c r="E106" s="16" t="str">
        <x:v>ШТ</x:v>
      </x:c>
      <x:c r="F106" s="21" t="n">
        <x:v>1</x:v>
      </x:c>
      <x:c r="G106" s="17" t="n">
        <x:v>1710.44</x:v>
      </x:c>
      <x:c r="H106" s="17" t="n">
        <x:f>G106*F106</x:f>
        <x:v>1710.44</x:v>
      </x:c>
      <x:c r="I106" s="22" t="str">
        <x:f>HYPERLINK("https://etp-aktiv.ru/catalog/materialy/metizy/2000530357-U311/","Открыть позицию")</x:f>
        <x:v>Открыть позицию</x:v>
      </x:c>
    </x:row>
    <x:row r="107" ht="28" customHeight="1">
      <x:c r="A107" s="16" t="str">
        <x:v>Кемеровская ГРЭС</x:v>
      </x:c>
      <x:c r="B107" s="16" t="str">
        <x:v>2000575163-U311</x:v>
      </x:c>
      <x:c r="C107" s="16" t="str">
        <x:v>ШПЛИНТ 4*36 0 ГОСТ397-79</x:v>
      </x:c>
      <x:c r="D107" s="16" t="str">
        <x:v>Метизы специализированные и под заказ</x:v>
      </x:c>
      <x:c r="E107" s="16" t="str">
        <x:v>КГ</x:v>
      </x:c>
      <x:c r="F107" s="21" t="n">
        <x:v>5</x:v>
      </x:c>
      <x:c r="G107" s="17" t="n">
        <x:v>210.45</x:v>
      </x:c>
      <x:c r="H107" s="17" t="n">
        <x:f>G107*F107</x:f>
        <x:v>1052.25</x:v>
      </x:c>
      <x:c r="I107" s="22" t="str">
        <x:f>HYPERLINK("https://etp-aktiv.ru/catalog/materialy/metizy/2000575163-U311/","Открыть позицию")</x:f>
        <x:v>Открыть позицию</x:v>
      </x:c>
    </x:row>
    <x:row r="108" ht="28" customHeight="1">
      <x:c r="A108" s="16" t="str">
        <x:v>Кемеровская ГРЭС</x:v>
      </x:c>
      <x:c r="B108" s="16" t="str">
        <x:v>M2000546312-U311</x:v>
      </x:c>
      <x:c r="C108" s="16" t="str">
        <x:v>ЭЛЕКТРОД УОНИ 13/НЖ 3ММ ГОСТ9466-75</x:v>
      </x:c>
      <x:c r="D108" s="16" t="str">
        <x:v>Сварочные электроды</x:v>
      </x:c>
      <x:c r="E108" s="16" t="str">
        <x:v>Т</x:v>
      </x:c>
      <x:c r="F108" s="30" t="n">
        <x:v>0.03</x:v>
      </x:c>
      <x:c r="G108" s="17" t="n">
        <x:v>13328.5</x:v>
      </x:c>
      <x:c r="H108" s="17" t="n">
        <x:f>G108*F108</x:f>
        <x:v>399.85499999999996</x:v>
      </x:c>
      <x:c r="I108" s="22" t="str">
        <x:f>HYPERLINK("https://etp-aktiv.ru/catalog/materialy/svarochnye-ehlektrody/M2000546312-U311/","Открыть позицию")</x:f>
        <x:v>Открыть позицию</x:v>
      </x:c>
    </x:row>
    <x:row r="109" ht="28" customHeight="1">
      <x:c r="A109" s="16" t="str">
        <x:v>Кемеровская ГРЭС</x:v>
      </x:c>
      <x:c r="B109" s="16" t="str">
        <x:v>2000546316-U311</x:v>
      </x:c>
      <x:c r="C109" s="16" t="str">
        <x:v>ЭЛЕКТРОД ЦЛ-11 3ММ ГОСТ9466-75 (КГ)</x:v>
      </x:c>
      <x:c r="D109" s="16" t="str">
        <x:v>Сварочные электроды</x:v>
      </x:c>
      <x:c r="E109" s="16" t="str">
        <x:v>КГ</x:v>
      </x:c>
      <x:c r="F109" s="29" t="n">
        <x:v>4.5</x:v>
      </x:c>
      <x:c r="G109" s="17" t="n">
        <x:v>154.6472</x:v>
      </x:c>
      <x:c r="H109" s="17" t="n">
        <x:f>G109*F109</x:f>
        <x:v>695.9123999999999</x:v>
      </x:c>
      <x:c r="I109" s="22" t="str">
        <x:f>HYPERLINK("https://etp-aktiv.ru/catalog/materialy/svarochnye-ehlektrody/2000546316-U311/","Открыть позицию")</x:f>
        <x:v>Открыть позицию</x:v>
      </x:c>
    </x:row>
    <x:row r="110" ht="28" customHeight="1">
      <x:c r="A110" s="16" t="str">
        <x:v>Кемеровская ГРЭС</x:v>
      </x:c>
      <x:c r="B110" s="16" t="str">
        <x:v>2000017996-U311</x:v>
      </x:c>
      <x:c r="C110" s="16" t="str">
        <x:v>ЭЛЕКТРОД ЦЛ-11 4ММ ГОСТ9466-75</x:v>
      </x:c>
      <x:c r="D110" s="16" t="str">
        <x:v>Сварочные электроды</x:v>
      </x:c>
      <x:c r="E110" s="16" t="str">
        <x:v>Т</x:v>
      </x:c>
      <x:c r="F110" s="30" t="n">
        <x:v>0.005</x:v>
      </x:c>
      <x:c r="G110" s="17" t="n">
        <x:v>166503.41619999998</x:v>
      </x:c>
      <x:c r="H110" s="17" t="n">
        <x:f>G110*F110</x:f>
        <x:v>832.517081</x:v>
      </x:c>
      <x:c r="I110" s="22" t="str">
        <x:f>HYPERLINK("https://etp-aktiv.ru/catalog/materialy/svarochnye-ehlektrody/2000017996-U311/","Открыть позицию")</x:f>
        <x:v>Открыть позицию</x:v>
      </x:c>
    </x:row>
    <x:row r="111" ht="28" customHeight="1">
      <x:c r="A111" s="16" t="str">
        <x:v>Кемеровская ГРЭС</x:v>
      </x:c>
      <x:c r="B111" s="16" t="str">
        <x:v>2000228664-U311</x:v>
      </x:c>
      <x:c r="C111" s="16" t="str">
        <x:v>ЭЛЕКТРОД ЦЛ-11 4ММ ГОСТ9466-75 (КГ)</x:v>
      </x:c>
      <x:c r="D111" s="16" t="str">
        <x:v>Сварочные электроды</x:v>
      </x:c>
      <x:c r="E111" s="16" t="str">
        <x:v>КГ</x:v>
      </x:c>
      <x:c r="F111" s="21" t="n">
        <x:v>5</x:v>
      </x:c>
      <x:c r="G111" s="17" t="n">
        <x:v>195.0048</x:v>
      </x:c>
      <x:c r="H111" s="17" t="n">
        <x:f>G111*F111</x:f>
        <x:v>975.0239999999999</x:v>
      </x:c>
      <x:c r="I111" s="22" t="str">
        <x:f>HYPERLINK("https://etp-aktiv.ru/catalog/materialy/svarochnye-ehlektrody/2000228664-U311/","Открыть позицию")</x:f>
        <x:v>Открыть позицию</x:v>
      </x:c>
    </x:row>
    <x:row r="112" ht="28" customHeight="1">
      <x:c r="A112" s="16" t="str">
        <x:v>Кемеровская ТЭЦ</x:v>
      </x:c>
      <x:c r="B112" s="16" t="str">
        <x:v>2000555671-U312</x:v>
      </x:c>
      <x:c r="C112" s="16" t="str">
        <x:v>БАЛКА 09Г2С 24М ГОСТ19425-74</x:v>
      </x:c>
      <x:c r="D112" s="16" t="str">
        <x:v>Металлопрокат черный</x:v>
      </x:c>
      <x:c r="E112" s="16" t="str">
        <x:v>Т</x:v>
      </x:c>
      <x:c r="F112" s="29" t="n">
        <x:v>1.38</x:v>
      </x:c>
      <x:c r="G112" s="17" t="n">
        <x:v>106750</x:v>
      </x:c>
      <x:c r="H112" s="17" t="n">
        <x:f>G112*F112</x:f>
        <x:v>147315</x:v>
      </x:c>
      <x:c r="I112" s="22" t="str">
        <x:f>HYPERLINK("https://etp-aktiv.ru/catalog/materialy/metalloprodukciya/2000555671-U312/","Открыть позицию")</x:f>
        <x:v>Открыть позицию</x:v>
      </x:c>
    </x:row>
    <x:row r="113" ht="28" customHeight="1">
      <x:c r="A113" s="16" t="str">
        <x:v>Кемеровская ТЭЦ</x:v>
      </x:c>
      <x:c r="B113" s="16" t="str">
        <x:v>2000068293-U312</x:v>
      </x:c>
      <x:c r="C113" s="16" t="str">
        <x:v>БОЛТ М14*60 ГОСТ7805-70</x:v>
      </x:c>
      <x:c r="D113" s="16" t="str">
        <x:v>Метизы</x:v>
      </x:c>
      <x:c r="E113" s="16" t="str">
        <x:v>КГ</x:v>
      </x:c>
      <x:c r="F113" s="30" t="n">
        <x:v>0.157</x:v>
      </x:c>
      <x:c r="G113" s="17" t="n">
        <x:v>122.0976</x:v>
      </x:c>
      <x:c r="H113" s="17" t="n">
        <x:f>G113*F113</x:f>
        <x:v>19.1693232</x:v>
      </x:c>
      <x:c r="I113" s="22" t="str">
        <x:f>HYPERLINK("https://etp-aktiv.ru/catalog/materialy/metizy/2000068293-U312/","Открыть позицию")</x:f>
        <x:v>Открыть позицию</x:v>
      </x:c>
    </x:row>
    <x:row r="114" ht="28" customHeight="1">
      <x:c r="A114" s="16" t="str">
        <x:v>Кемеровская ТЭЦ</x:v>
      </x:c>
      <x:c r="B114" s="16" t="str">
        <x:v>2000165821-U312</x:v>
      </x:c>
      <x:c r="C114" s="16" t="str">
        <x:v>БОЛТ М16*180 ГОСТ7798-70</x:v>
      </x:c>
      <x:c r="D114" s="16" t="str">
        <x:v>Метизы</x:v>
      </x:c>
      <x:c r="E114" s="16" t="str">
        <x:v>КГ</x:v>
      </x:c>
      <x:c r="F114" s="21" t="n">
        <x:v>2</x:v>
      </x:c>
      <x:c r="G114" s="17" t="n">
        <x:v>47.0432</x:v>
      </x:c>
      <x:c r="H114" s="17" t="n">
        <x:f>G114*F114</x:f>
        <x:v>94.0864</x:v>
      </x:c>
      <x:c r="I114" s="22" t="str">
        <x:f>HYPERLINK("https://etp-aktiv.ru/catalog/materialy/metizy/2000165821-U312/","Открыть позицию")</x:f>
        <x:v>Открыть позицию</x:v>
      </x:c>
    </x:row>
    <x:row r="115" ht="28" customHeight="1">
      <x:c r="A115" s="16" t="str">
        <x:v>Кемеровская ТЭЦ</x:v>
      </x:c>
      <x:c r="B115" s="16" t="str">
        <x:v>2000068342-U312</x:v>
      </x:c>
      <x:c r="C115" s="16" t="str">
        <x:v>БОЛТ М20*50 ГОСТ7798-70</x:v>
      </x:c>
      <x:c r="D115" s="16" t="str">
        <x:v>Метизы</x:v>
      </x:c>
      <x:c r="E115" s="16" t="str">
        <x:v>КГ</x:v>
      </x:c>
      <x:c r="F115" s="29" t="n">
        <x:v>4.92</x:v>
      </x:c>
      <x:c r="G115" s="17" t="n">
        <x:v>101.04039999999999</x:v>
      </x:c>
      <x:c r="H115" s="17" t="n">
        <x:f>G115*F115</x:f>
        <x:v>497.11876799999993</x:v>
      </x:c>
      <x:c r="I115" s="22" t="str">
        <x:f>HYPERLINK("https://etp-aktiv.ru/catalog/materialy/metizy/2000068342-U312/","Открыть позицию")</x:f>
        <x:v>Открыть позицию</x:v>
      </x:c>
    </x:row>
    <x:row r="116" ht="28" customHeight="1">
      <x:c r="A116" s="16" t="str">
        <x:v>Кемеровская ТЭЦ</x:v>
      </x:c>
      <x:c r="B116" s="16" t="str">
        <x:v>2000068253-U312</x:v>
      </x:c>
      <x:c r="C116" s="16" t="str">
        <x:v>БОЛТ М36*100 ГОСТ7805-70</x:v>
      </x:c>
      <x:c r="D116" s="16" t="str">
        <x:v>Метизы</x:v>
      </x:c>
      <x:c r="E116" s="16" t="str">
        <x:v>КГ</x:v>
      </x:c>
      <x:c r="F116" s="29" t="n">
        <x:v>157.6</x:v>
      </x:c>
      <x:c r="G116" s="17" t="n">
        <x:v>186.78199999999998</x:v>
      </x:c>
      <x:c r="H116" s="17" t="n">
        <x:f>G116*F116</x:f>
        <x:v>29436.843199999996</x:v>
      </x:c>
      <x:c r="I116" s="22" t="str">
        <x:f>HYPERLINK("https://etp-aktiv.ru/catalog/materialy/metizy/2000068253-U312/","Открыть позицию")</x:f>
        <x:v>Открыть позицию</x:v>
      </x:c>
    </x:row>
    <x:row r="117" ht="28" customHeight="1">
      <x:c r="A117" s="16" t="str">
        <x:v>Кемеровская ТЭЦ</x:v>
      </x:c>
      <x:c r="B117" s="16" t="str">
        <x:v>2000068371-U312</x:v>
      </x:c>
      <x:c r="C117" s="16" t="str">
        <x:v>БОЛТ М8*50 ГОСТ7798-70</x:v>
      </x:c>
      <x:c r="D117" s="16" t="str">
        <x:v>Метизы</x:v>
      </x:c>
      <x:c r="E117" s="16" t="str">
        <x:v>КГ</x:v>
      </x:c>
      <x:c r="F117" s="30" t="n">
        <x:v>0.82</x:v>
      </x:c>
      <x:c r="G117" s="17" t="n">
        <x:v>106.53039999999999</x:v>
      </x:c>
      <x:c r="H117" s="17" t="n">
        <x:f>G117*F117</x:f>
        <x:v>87.35492799999999</x:v>
      </x:c>
      <x:c r="I117" s="22" t="str">
        <x:f>HYPERLINK("https://etp-aktiv.ru/catalog/materialy/metizy/2000068371-U312/","Открыть позицию")</x:f>
        <x:v>Открыть позицию</x:v>
      </x:c>
    </x:row>
    <x:row r="118" ht="28" customHeight="1">
      <x:c r="A118" s="16" t="str">
        <x:v>Кемеровская ТЭЦ</x:v>
      </x:c>
      <x:c r="B118" s="16" t="str">
        <x:v>2000630868-U312</x:v>
      </x:c>
      <x:c r="C118" s="16" t="str">
        <x:v>ГАЙКА М12-6-А3С ГОСТ ISO4032-2014</x:v>
      </x:c>
      <x:c r="D118" s="16" t="str">
        <x:v>Метизы</x:v>
      </x:c>
      <x:c r="E118" s="16" t="str">
        <x:v>КГ</x:v>
      </x:c>
      <x:c r="F118" s="30" t="n">
        <x:v>0.52</x:v>
      </x:c>
      <x:c r="G118" s="17" t="n">
        <x:v>108.0066</x:v>
      </x:c>
      <x:c r="H118" s="17" t="n">
        <x:f>G118*F118</x:f>
        <x:v>56.16343200000001</x:v>
      </x:c>
      <x:c r="I118" s="22" t="str">
        <x:f>HYPERLINK("https://etp-aktiv.ru/catalog/materialy/metizy/2000630868-U312/","Открыть позицию")</x:f>
        <x:v>Открыть позицию</x:v>
      </x:c>
    </x:row>
    <x:row r="119" ht="28" customHeight="1">
      <x:c r="A119" s="16" t="str">
        <x:v>Кемеровская ТЭЦ</x:v>
      </x:c>
      <x:c r="B119" s="16" t="str">
        <x:v>2000068475-U312</x:v>
      </x:c>
      <x:c r="C119" s="16" t="str">
        <x:v>ГАЙКА М14 ГОСТ5915-70</x:v>
      </x:c>
      <x:c r="D119" s="16" t="str">
        <x:v>Метизы</x:v>
      </x:c>
      <x:c r="E119" s="16" t="str">
        <x:v>КГ</x:v>
      </x:c>
      <x:c r="F119" s="29" t="n">
        <x:v>11.999</x:v>
      </x:c>
      <x:c r="G119" s="17" t="n">
        <x:v>88.2182</x:v>
      </x:c>
      <x:c r="H119" s="17" t="n">
        <x:f>G119*F119</x:f>
        <x:v>1058.5301818</x:v>
      </x:c>
      <x:c r="I119" s="22" t="str">
        <x:f>HYPERLINK("https://etp-aktiv.ru/catalog/materialy/metizy/2000068475-U312/","Открыть позицию")</x:f>
        <x:v>Открыть позицию</x:v>
      </x:c>
    </x:row>
    <x:row r="120" ht="28" customHeight="1">
      <x:c r="A120" s="16" t="str">
        <x:v>Кемеровская ТЭЦ</x:v>
      </x:c>
      <x:c r="B120" s="16" t="str">
        <x:v>2000630874-U312</x:v>
      </x:c>
      <x:c r="C120" s="16" t="str">
        <x:v>ГАЙКА М20-6-А3С ГОСТ ISO4032-2014</x:v>
      </x:c>
      <x:c r="D120" s="16" t="str">
        <x:v>Метизы</x:v>
      </x:c>
      <x:c r="E120" s="16" t="str">
        <x:v>КГ</x:v>
      </x:c>
      <x:c r="F120" s="30" t="n">
        <x:v>0.8</x:v>
      </x:c>
      <x:c r="G120" s="17" t="n">
        <x:v>111.996</x:v>
      </x:c>
      <x:c r="H120" s="17" t="n">
        <x:f>G120*F120</x:f>
        <x:v>89.5968</x:v>
      </x:c>
      <x:c r="I120" s="22" t="str">
        <x:f>HYPERLINK("https://etp-aktiv.ru/catalog/materialy/metizy/2000630874-U312/","Открыть позицию")</x:f>
        <x:v>Открыть позицию</x:v>
      </x:c>
    </x:row>
    <x:row r="121" ht="28" customHeight="1">
      <x:c r="A121" s="16" t="str">
        <x:v>Кемеровская ТЭЦ</x:v>
      </x:c>
      <x:c r="B121" s="16" t="str">
        <x:v>2000150093-U312</x:v>
      </x:c>
      <x:c r="C121" s="16" t="str">
        <x:v>ГАЙКА М8 ГОСТ5927-70</x:v>
      </x:c>
      <x:c r="D121" s="16" t="str">
        <x:v>Метизы</x:v>
      </x:c>
      <x:c r="E121" s="16" t="str">
        <x:v>КГ</x:v>
      </x:c>
      <x:c r="F121" s="29" t="n">
        <x:v>3.36</x:v>
      </x:c>
      <x:c r="G121" s="17" t="n">
        <x:v>130.0032</x:v>
      </x:c>
      <x:c r="H121" s="17" t="n">
        <x:f>G121*F121</x:f>
        <x:v>436.810752</x:v>
      </x:c>
      <x:c r="I121" s="22" t="str">
        <x:f>HYPERLINK("https://etp-aktiv.ru/catalog/materialy/metizy/2000150093-U312/","Открыть позицию")</x:f>
        <x:v>Открыть позицию</x:v>
      </x:c>
    </x:row>
    <x:row r="122" ht="28" customHeight="1">
      <x:c r="A122" s="16" t="str">
        <x:v>Кемеровская ТЭЦ</x:v>
      </x:c>
      <x:c r="B122" s="16" t="str">
        <x:v>2000333534-U312</x:v>
      </x:c>
      <x:c r="C122" s="16" t="str">
        <x:v>ДВУТАВР С255 35Ш1 ГОСТ27772-88</x:v>
      </x:c>
      <x:c r="D122" s="16" t="str">
        <x:v>Металлопрокат черный</x:v>
      </x:c>
      <x:c r="E122" s="16" t="str">
        <x:v>Т</x:v>
      </x:c>
      <x:c r="F122" s="29" t="n">
        <x:v>1.568</x:v>
      </x:c>
      <x:c r="G122" s="17" t="n">
        <x:v>67527</x:v>
      </x:c>
      <x:c r="H122" s="17" t="n">
        <x:f>G122*F122</x:f>
        <x:v>105882.33600000001</x:v>
      </x:c>
      <x:c r="I122" s="22" t="str">
        <x:f>HYPERLINK("https://etp-aktiv.ru/catalog/materialy/metalloprodukciya/2000333534-U312/","Открыть позицию")</x:f>
        <x:v>Открыть позицию</x:v>
      </x:c>
    </x:row>
    <x:row r="123" ht="28" customHeight="1">
      <x:c r="A123" s="16" t="str">
        <x:v>Кемеровская ТЭЦ</x:v>
      </x:c>
      <x:c r="B123" s="16" t="str">
        <x:v>2000198521-U312</x:v>
      </x:c>
      <x:c r="C123" s="16" t="str">
        <x:v>ДЮБЕЛЬ 10*50 ТУ14-4-1731-92</x:v>
      </x:c>
      <x:c r="D123" s="16" t="str">
        <x:v>Метизы</x:v>
      </x:c>
      <x:c r="E123" s="16" t="str">
        <x:v>ШТ</x:v>
      </x:c>
      <x:c r="F123" s="21" t="n">
        <x:v>12</x:v>
      </x:c>
      <x:c r="G123" s="17" t="n">
        <x:v>4.27</x:v>
      </x:c>
      <x:c r="H123" s="17" t="n">
        <x:f>G123*F123</x:f>
        <x:v>51.239999999999995</x:v>
      </x:c>
      <x:c r="I123" s="22" t="str">
        <x:f>HYPERLINK("https://etp-aktiv.ru/catalog/materialy/metizy/2000198521-U312/","Открыть позицию")</x:f>
        <x:v>Открыть позицию</x:v>
      </x:c>
    </x:row>
    <x:row r="124" ht="28" customHeight="1">
      <x:c r="A124" s="16" t="str">
        <x:v>Кемеровская ТЭЦ</x:v>
      </x:c>
      <x:c r="B124" s="16" t="str">
        <x:v>2000173081-U312</x:v>
      </x:c>
      <x:c r="C124" s="16" t="str">
        <x:v>КВАДРАТ СТ20 16*16ММ ГОСТ2591-2006</x:v>
      </x:c>
      <x:c r="D124" s="16" t="str">
        <x:v>Металлопрокат прочий</x:v>
      </x:c>
      <x:c r="E124" s="16" t="str">
        <x:v>Т</x:v>
      </x:c>
      <x:c r="F124" s="30" t="n">
        <x:v>0.84</x:v>
      </x:c>
      <x:c r="G124" s="17" t="n">
        <x:v>62260.430799999995</x:v>
      </x:c>
      <x:c r="H124" s="17" t="n">
        <x:f>G124*F124</x:f>
        <x:v>52298.761871999995</x:v>
      </x:c>
      <x:c r="I124" s="22" t="str">
        <x:f>HYPERLINK("https://etp-aktiv.ru/catalog/materialy/metalloprodukciya/2000173081-U312/","Открыть позицию")</x:f>
        <x:v>Открыть позицию</x:v>
      </x:c>
    </x:row>
    <x:row r="125" ht="28" customHeight="1">
      <x:c r="A125" s="16" t="str">
        <x:v>Кемеровская ТЭЦ</x:v>
      </x:c>
      <x:c r="B125" s="16" t="str">
        <x:v>2000555750-U312</x:v>
      </x:c>
      <x:c r="C125" s="16" t="str">
        <x:v>КВАДРАТ СТ3 70ММ ГОСТ2591-2006</x:v>
      </x:c>
      <x:c r="D125" s="16" t="str">
        <x:v>Металлопрокат прочий</x:v>
      </x:c>
      <x:c r="E125" s="16" t="str">
        <x:v>Т</x:v>
      </x:c>
      <x:c r="F125" s="30" t="n">
        <x:v>0.12</x:v>
      </x:c>
      <x:c r="G125" s="17" t="n">
        <x:v>114375</x:v>
      </x:c>
      <x:c r="H125" s="17" t="n">
        <x:f>G125*F125</x:f>
        <x:v>13725</x:v>
      </x:c>
      <x:c r="I125" s="22" t="str">
        <x:f>HYPERLINK("https://etp-aktiv.ru/catalog/materialy/metalloprodukciya/2000555750-U312/","Открыть позицию")</x:f>
        <x:v>Открыть позицию</x:v>
      </x:c>
    </x:row>
    <x:row r="126" ht="28" customHeight="1">
      <x:c r="A126" s="16" t="str">
        <x:v>Кемеровская ТЭЦ</x:v>
      </x:c>
      <x:c r="B126" s="16" t="str">
        <x:v>2000183919-U312</x:v>
      </x:c>
      <x:c r="C126" s="16" t="str">
        <x:v>КРУГ СТ20 D10ММ ГОСТ2590-2006</x:v>
      </x:c>
      <x:c r="D126" s="16" t="str">
        <x:v>Металлопрокат черный</x:v>
      </x:c>
      <x:c r="E126" s="16" t="str">
        <x:v>Т</x:v>
      </x:c>
      <x:c r="F126" s="30" t="n">
        <x:v>0.004</x:v>
      </x:c>
      <x:c r="G126" s="17" t="n">
        <x:v>74291.1436</x:v>
      </x:c>
      <x:c r="H126" s="17" t="n">
        <x:f>G126*F126</x:f>
        <x:v>297.1645744</x:v>
      </x:c>
      <x:c r="I126" s="22" t="str">
        <x:f>HYPERLINK("https://etp-aktiv.ru/catalog/materialy/metalloprodukciya/2000183919-U312/","Открыть позицию")</x:f>
        <x:v>Открыть позицию</x:v>
      </x:c>
    </x:row>
    <x:row r="127" ht="28" customHeight="1">
      <x:c r="A127" s="16" t="str">
        <x:v>Кемеровская ТЭЦ</x:v>
      </x:c>
      <x:c r="B127" s="16" t="str">
        <x:v>2000556192-U312</x:v>
      </x:c>
      <x:c r="C127" s="16" t="str">
        <x:v>ЛИСТ А5М 0,8*1200*3000 ГОСТ21631-76</x:v>
      </x:c>
      <x:c r="D127" s="16" t="str">
        <x:v>Металлопрокат цветной</x:v>
      </x:c>
      <x:c r="E127" s="16" t="str">
        <x:v>КГ</x:v>
      </x:c>
      <x:c r="F127" s="29" t="n">
        <x:v>9.4</x:v>
      </x:c>
      <x:c r="G127" s="17" t="n">
        <x:v>274.5854</x:v>
      </x:c>
      <x:c r="H127" s="17" t="n">
        <x:f>G127*F127</x:f>
        <x:v>2581.10276</x:v>
      </x:c>
      <x:c r="I127" s="22" t="str">
        <x:f>HYPERLINK("https://etp-aktiv.ru/catalog/materialy/metalloprodukciya/2000556192-U312/","Открыть позицию")</x:f>
        <x:v>Открыть позицию</x:v>
      </x:c>
    </x:row>
    <x:row r="128" ht="28" customHeight="1">
      <x:c r="A128" s="16" t="str">
        <x:v>Кемеровская ТЭЦ</x:v>
      </x:c>
      <x:c r="B128" s="16" t="str">
        <x:v>2000200762-U312</x:v>
      </x:c>
      <x:c r="C128" s="16" t="str">
        <x:v>ЛИСТ Г/К СТ3 14*1500*6000 ГОСТ19903-74</x:v>
      </x:c>
      <x:c r="D128" s="16" t="str">
        <x:v>Металлопрокат черный</x:v>
      </x:c>
      <x:c r="E128" s="16" t="str">
        <x:v>Т</x:v>
      </x:c>
      <x:c r="F128" s="30" t="n">
        <x:v>0.169</x:v>
      </x:c>
      <x:c r="G128" s="17" t="n">
        <x:v>63489.2514</x:v>
      </x:c>
      <x:c r="H128" s="17" t="n">
        <x:f>G128*F128</x:f>
        <x:v>10729.6834866</x:v>
      </x:c>
      <x:c r="I128" s="22" t="str">
        <x:f>HYPERLINK("https://etp-aktiv.ru/catalog/materialy/metalloprodukciya/2000200762-U312/","Открыть позицию")</x:f>
        <x:v>Открыть позицию</x:v>
      </x:c>
    </x:row>
    <x:row r="129" ht="28" customHeight="1">
      <x:c r="A129" s="16" t="str">
        <x:v>Кемеровская ТЭЦ</x:v>
      </x:c>
      <x:c r="B129" s="16" t="str">
        <x:v>2000141643-U312</x:v>
      </x:c>
      <x:c r="C129" s="16" t="str">
        <x:v>ЛИСТ Г/К СТ3 3ММ ГОСТ19903-74</x:v>
      </x:c>
      <x:c r="D129" s="16" t="str">
        <x:v>Металлопрокат черный</x:v>
      </x:c>
      <x:c r="E129" s="16" t="str">
        <x:v>Т</x:v>
      </x:c>
      <x:c r="F129" s="30" t="n">
        <x:v>0.08</x:v>
      </x:c>
      <x:c r="G129" s="17" t="n">
        <x:v>70571.0952</x:v>
      </x:c>
      <x:c r="H129" s="17" t="n">
        <x:f>G129*F129</x:f>
        <x:v>5645.687616</x:v>
      </x:c>
      <x:c r="I129" s="22" t="str">
        <x:f>HYPERLINK("https://etp-aktiv.ru/catalog/materialy/metalloprodukciya/2000141643-U312/","Открыть позицию")</x:f>
        <x:v>Открыть позицию</x:v>
      </x:c>
    </x:row>
    <x:row r="130" ht="28" customHeight="1">
      <x:c r="A130" s="16" t="str">
        <x:v>Кемеровская ТЭЦ</x:v>
      </x:c>
      <x:c r="B130" s="16" t="str">
        <x:v>2000649113-U312</x:v>
      </x:c>
      <x:c r="C130" s="16" t="str">
        <x:v>ЛИСТ М1 1,5*600*1500ММ ГОСТ495-92</x:v>
      </x:c>
      <x:c r="D130" s="16" t="str">
        <x:v>Металлопрокат цветной</x:v>
      </x:c>
      <x:c r="E130" s="16" t="str">
        <x:v>ШТ</x:v>
      </x:c>
      <x:c r="F130" s="21" t="n">
        <x:v>1</x:v>
      </x:c>
      <x:c r="G130" s="17" t="n">
        <x:v>11485.812</x:v>
      </x:c>
      <x:c r="H130" s="17" t="n">
        <x:f>G130*F130</x:f>
        <x:v>11485.812</x:v>
      </x:c>
      <x:c r="I130" s="22" t="str">
        <x:f>HYPERLINK("https://etp-aktiv.ru/catalog/materialy/metalloprodukciya/2000649113-U312/","Открыть позицию")</x:f>
        <x:v>Открыть позицию</x:v>
      </x:c>
    </x:row>
    <x:row r="131" ht="28" customHeight="1">
      <x:c r="A131" s="16" t="str">
        <x:v>Кемеровская ТЭЦ</x:v>
      </x:c>
      <x:c r="B131" s="16" t="str">
        <x:v>2000555971-U312</x:v>
      </x:c>
      <x:c r="C131" s="16" t="str">
        <x:v>ЛИСТ СТ20 3ММ ГОСТ1050-2013</x:v>
      </x:c>
      <x:c r="D131" s="16" t="str">
        <x:v>Металлопрокат черный</x:v>
      </x:c>
      <x:c r="E131" s="16" t="str">
        <x:v>Т</x:v>
      </x:c>
      <x:c r="F131" s="30" t="n">
        <x:v>0.074</x:v>
      </x:c>
      <x:c r="G131" s="17" t="n">
        <x:v>108885</x:v>
      </x:c>
      <x:c r="H131" s="17" t="n">
        <x:f>G131*F131</x:f>
        <x:v>8057.49</x:v>
      </x:c>
      <x:c r="I131" s="22" t="str">
        <x:f>HYPERLINK("https://etp-aktiv.ru/catalog/materialy/metalloprodukciya/2000555971-U312/","Открыть позицию")</x:f>
        <x:v>Открыть позицию</x:v>
      </x:c>
    </x:row>
    <x:row r="132" ht="28" customHeight="1">
      <x:c r="A132" s="16" t="str">
        <x:v>Кемеровская ТЭЦ</x:v>
      </x:c>
      <x:c r="B132" s="16" t="str">
        <x:v>2000148547-U312</x:v>
      </x:c>
      <x:c r="C132" s="16" t="str">
        <x:v>ЛИСТ СТ3 12ММ ГОСТ19904-90</x:v>
      </x:c>
      <x:c r="D132" s="16" t="str">
        <x:v>Металлопрокат черный</x:v>
      </x:c>
      <x:c r="E132" s="16" t="str">
        <x:v>Т</x:v>
      </x:c>
      <x:c r="F132" s="30" t="n">
        <x:v>0.029</x:v>
      </x:c>
      <x:c r="G132" s="17" t="n">
        <x:v>75079.5442</x:v>
      </x:c>
      <x:c r="H132" s="17" t="n">
        <x:f>G132*F132</x:f>
        <x:v>2177.3067818000004</x:v>
      </x:c>
      <x:c r="I132" s="22" t="str">
        <x:f>HYPERLINK("https://etp-aktiv.ru/catalog/materialy/metalloprodukciya/2000148547-U312/","Открыть позицию")</x:f>
        <x:v>Открыть позицию</x:v>
      </x:c>
    </x:row>
    <x:row r="133" ht="28" customHeight="1">
      <x:c r="A133" s="16" t="str">
        <x:v>Кемеровская ТЭЦ</x:v>
      </x:c>
      <x:c r="B133" s="16" t="str">
        <x:v>2000555917-U312</x:v>
      </x:c>
      <x:c r="C133" s="16" t="str">
        <x:v>ЛИСТ СТ3ПС5 12ММ ГОСТ14637-89</x:v>
      </x:c>
      <x:c r="D133" s="16" t="str">
        <x:v>Металлопрокат черный</x:v>
      </x:c>
      <x:c r="E133" s="16" t="str">
        <x:v>Т</x:v>
      </x:c>
      <x:c r="F133" s="30" t="n">
        <x:v>0.235</x:v>
      </x:c>
      <x:c r="G133" s="17" t="n">
        <x:v>59475</x:v>
      </x:c>
      <x:c r="H133" s="17" t="n">
        <x:f>G133*F133</x:f>
        <x:v>13976.625</x:v>
      </x:c>
      <x:c r="I133" s="22" t="str">
        <x:f>HYPERLINK("https://etp-aktiv.ru/catalog/materialy/metalloprodukciya/2000555917-U312/","Открыть позицию")</x:f>
        <x:v>Открыть позицию</x:v>
      </x:c>
    </x:row>
    <x:row r="134" ht="28" customHeight="1">
      <x:c r="A134" s="16" t="str">
        <x:v>Кемеровская ТЭЦ</x:v>
      </x:c>
      <x:c r="B134" s="16" t="str">
        <x:v>2000555934-U312</x:v>
      </x:c>
      <x:c r="C134" s="16" t="str">
        <x:v>ЛИСТ СТ3ПС5 5ММ ГОСТ14637-89</x:v>
      </x:c>
      <x:c r="D134" s="16" t="str">
        <x:v>Металлопрокат черный</x:v>
      </x:c>
      <x:c r="E134" s="16" t="str">
        <x:v>Т</x:v>
      </x:c>
      <x:c r="F134" s="30" t="n">
        <x:v>0.429</x:v>
      </x:c>
      <x:c r="G134" s="17" t="n">
        <x:v>53536.1864</x:v>
      </x:c>
      <x:c r="H134" s="17" t="n">
        <x:f>G134*F134</x:f>
        <x:v>22967.023965599998</x:v>
      </x:c>
      <x:c r="I134" s="22" t="str">
        <x:f>HYPERLINK("https://etp-aktiv.ru/catalog/materialy/metalloprodukciya/2000555934-U312/","Открыть позицию")</x:f>
        <x:v>Открыть позицию</x:v>
      </x:c>
    </x:row>
    <x:row r="135" ht="28" customHeight="1">
      <x:c r="A135" s="16" t="str">
        <x:v>Кемеровская ТЭЦ</x:v>
      </x:c>
      <x:c r="B135" s="16" t="str">
        <x:v>2000282337-U312</x:v>
      </x:c>
      <x:c r="C135" s="16" t="str">
        <x:v>ПОЛОСА СТ3 4*25 ГОСТ103-06</x:v>
      </x:c>
      <x:c r="D135" s="16" t="str">
        <x:v>Металлопрокат прочий</x:v>
      </x:c>
      <x:c r="E135" s="16" t="str">
        <x:v>Т</x:v>
      </x:c>
      <x:c r="F135" s="30" t="n">
        <x:v>0.002</x:v>
      </x:c>
      <x:c r="G135" s="17" t="n">
        <x:v>107841.9</x:v>
      </x:c>
      <x:c r="H135" s="17" t="n">
        <x:f>G135*F135</x:f>
        <x:v>215.6838</x:v>
      </x:c>
      <x:c r="I135" s="22" t="str">
        <x:f>HYPERLINK("https://etp-aktiv.ru/catalog/materialy/metalloprodukciya/2000282337-U312/","Открыть позицию")</x:f>
        <x:v>Открыть позицию</x:v>
      </x:c>
    </x:row>
    <x:row r="136" ht="28" customHeight="1">
      <x:c r="A136" s="16" t="str">
        <x:v>Кемеровская ТЭЦ</x:v>
      </x:c>
      <x:c r="B136" s="16" t="str">
        <x:v>2000253416-U312</x:v>
      </x:c>
      <x:c r="C136" s="16" t="str">
        <x:v>ПРИПОЙ ПОС-61</x:v>
      </x:c>
      <x:c r="D136" s="16" t="str">
        <x:v>Металлопрокат цветной</x:v>
      </x:c>
      <x:c r="E136" s="16" t="str">
        <x:v>КГ</x:v>
      </x:c>
      <x:c r="F136" s="29" t="n">
        <x:v>1.45</x:v>
      </x:c>
      <x:c r="G136" s="17" t="n">
        <x:v>2416.6126</x:v>
      </x:c>
      <x:c r="H136" s="17" t="n">
        <x:f>G136*F136</x:f>
        <x:v>3504.0882699999997</x:v>
      </x:c>
      <x:c r="I136" s="22" t="str">
        <x:f>HYPERLINK("https://etp-aktiv.ru/catalog/materialy/metalloprodukciya/2000253416-U312/","Открыть позицию")</x:f>
        <x:v>Открыть позицию</x:v>
      </x:c>
    </x:row>
    <x:row r="137" ht="28" customHeight="1">
      <x:c r="A137" s="16" t="str">
        <x:v>Кемеровская ТЭЦ</x:v>
      </x:c>
      <x:c r="B137" s="16" t="str">
        <x:v>2000246288-U312</x:v>
      </x:c>
      <x:c r="C137" s="16" t="str">
        <x:v>ПРОВОЛОКА С-1 D2ММ ГОСТ3778-98</x:v>
      </x:c>
      <x:c r="D137" s="16" t="str">
        <x:v>Металлопрокат цветной</x:v>
      </x:c>
      <x:c r="E137" s="16" t="str">
        <x:v>КГ</x:v>
      </x:c>
      <x:c r="F137" s="29" t="n">
        <x:v>6.5</x:v>
      </x:c>
      <x:c r="G137" s="17" t="n">
        <x:v>485.804</x:v>
      </x:c>
      <x:c r="H137" s="17" t="n">
        <x:f>G137*F137</x:f>
        <x:v>3157.7259999999997</x:v>
      </x:c>
      <x:c r="I137" s="22" t="str">
        <x:f>HYPERLINK("https://etp-aktiv.ru/catalog/materialy/metalloprodukciya/2000246288-U312/","Открыть позицию")</x:f>
        <x:v>Открыть позицию</x:v>
      </x:c>
    </x:row>
    <x:row r="138" ht="28" customHeight="1">
      <x:c r="A138" s="16" t="str">
        <x:v>Кемеровская ТЭЦ</x:v>
      </x:c>
      <x:c r="B138" s="16" t="str">
        <x:v>2000546354-U312</x:v>
      </x:c>
      <x:c r="C138" s="16" t="str">
        <x:v>ПРОВОЛОКА СВ04Х19Н9 D2ММ ГОСТ2246-70</x:v>
      </x:c>
      <x:c r="D138" s="16" t="str">
        <x:v>Сварочные электроды</x:v>
      </x:c>
      <x:c r="E138" s="16" t="str">
        <x:v>КГ</x:v>
      </x:c>
      <x:c r="F138" s="21" t="n">
        <x:v>5</x:v>
      </x:c>
      <x:c r="G138" s="17" t="n">
        <x:v>1842.0658</x:v>
      </x:c>
      <x:c r="H138" s="17" t="n">
        <x:f>G138*F138</x:f>
        <x:v>9210.329</x:v>
      </x:c>
      <x:c r="I138" s="22" t="str">
        <x:f>HYPERLINK("https://etp-aktiv.ru/catalog/materialy/svarochnye-ehlektrody/2000546354-U312/","Открыть позицию")</x:f>
        <x:v>Открыть позицию</x:v>
      </x:c>
    </x:row>
    <x:row r="139" ht="28" customHeight="1">
      <x:c r="A139" s="16" t="str">
        <x:v>Кемеровская ТЭЦ</x:v>
      </x:c>
      <x:c r="B139" s="16" t="str">
        <x:v>2000337466-U312</x:v>
      </x:c>
      <x:c r="C139" s="16" t="str">
        <x:v>САМОРЕЗ 6,3*25 КРОВЕЛЬНЫЙ DIN7504K</x:v>
      </x:c>
      <x:c r="D139" s="16" t="str">
        <x:v>Метизы</x:v>
      </x:c>
      <x:c r="E139" s="16" t="str">
        <x:v>КГ</x:v>
      </x:c>
      <x:c r="F139" s="29" t="n">
        <x:v>19.8</x:v>
      </x:c>
      <x:c r="G139" s="17" t="n">
        <x:v>156.2698</x:v>
      </x:c>
      <x:c r="H139" s="17" t="n">
        <x:f>G139*F139</x:f>
        <x:v>3094.14204</x:v>
      </x:c>
      <x:c r="I139" s="22" t="str">
        <x:f>HYPERLINK("https://etp-aktiv.ru/catalog/materialy/metizy/2000337466-U312/","Открыть позицию")</x:f>
        <x:v>Открыть позицию</x:v>
      </x:c>
    </x:row>
    <x:row r="140" ht="28" customHeight="1">
      <x:c r="A140" s="16" t="str">
        <x:v>Кемеровская ТЭЦ</x:v>
      </x:c>
      <x:c r="B140" s="16" t="str">
        <x:v>2000393048-U312</x:v>
      </x:c>
      <x:c r="C140" s="16" t="str">
        <x:v>УГОЛОК С235 50*5 ГОСТ8509-93</x:v>
      </x:c>
      <x:c r="D140" s="16" t="str">
        <x:v>Металлопрокат черный</x:v>
      </x:c>
      <x:c r="E140" s="16" t="str">
        <x:v>Т</x:v>
      </x:c>
      <x:c r="F140" s="30" t="n">
        <x:v>0.091</x:v>
      </x:c>
      <x:c r="G140" s="17" t="n">
        <x:v>64050</x:v>
      </x:c>
      <x:c r="H140" s="17" t="n">
        <x:f>G140*F140</x:f>
        <x:v>5828.55</x:v>
      </x:c>
      <x:c r="I140" s="22" t="str">
        <x:f>HYPERLINK("https://etp-aktiv.ru/catalog/materialy/metalloprodukciya/2000393048-U312/","Открыть позицию")</x:f>
        <x:v>Открыть позицию</x:v>
      </x:c>
    </x:row>
    <x:row r="141" ht="28" customHeight="1">
      <x:c r="A141" s="16" t="str">
        <x:v>Кемеровская ТЭЦ</x:v>
      </x:c>
      <x:c r="B141" s="16" t="str">
        <x:v>2000148465-U312</x:v>
      </x:c>
      <x:c r="C141" s="16" t="str">
        <x:v>УГОЛОК СТ3 32*32*4 ГОСТ8509-93</x:v>
      </x:c>
      <x:c r="D141" s="16" t="str">
        <x:v>Металлопрокат черный</x:v>
      </x:c>
      <x:c r="E141" s="16" t="str">
        <x:v>Т</x:v>
      </x:c>
      <x:c r="F141" s="30" t="n">
        <x:v>0.004</x:v>
      </x:c>
      <x:c r="G141" s="17" t="n">
        <x:v>86330.25</x:v>
      </x:c>
      <x:c r="H141" s="17" t="n">
        <x:f>G141*F141</x:f>
        <x:v>345.321</x:v>
      </x:c>
      <x:c r="I141" s="22" t="str">
        <x:f>HYPERLINK("https://etp-aktiv.ru/catalog/materialy/metalloprodukciya/2000148465-U312/","Открыть позицию")</x:f>
        <x:v>Открыть позицию</x:v>
      </x:c>
    </x:row>
    <x:row r="142" ht="28" customHeight="1">
      <x:c r="A142" s="16" t="str">
        <x:v>Кемеровская ТЭЦ</x:v>
      </x:c>
      <x:c r="B142" s="16" t="str">
        <x:v>2000555874-U312</x:v>
      </x:c>
      <x:c r="C142" s="16" t="str">
        <x:v>УГОЛОК СТ3СП5 50*5 ГОСТ8509-93</x:v>
      </x:c>
      <x:c r="D142" s="16" t="str">
        <x:v>Металлопрокат черный</x:v>
      </x:c>
      <x:c r="E142" s="16" t="str">
        <x:v>Т</x:v>
      </x:c>
      <x:c r="F142" s="30" t="n">
        <x:v>0.036</x:v>
      </x:c>
      <x:c r="G142" s="17" t="n">
        <x:v>64050</x:v>
      </x:c>
      <x:c r="H142" s="17" t="n">
        <x:f>G142*F142</x:f>
        <x:v>2305.7999999999997</x:v>
      </x:c>
      <x:c r="I142" s="22" t="str">
        <x:f>HYPERLINK("https://etp-aktiv.ru/catalog/materialy/metalloprodukciya/2000555874-U312/","Открыть позицию")</x:f>
        <x:v>Открыть позицию</x:v>
      </x:c>
    </x:row>
    <x:row r="143" ht="28" customHeight="1">
      <x:c r="A143" s="16" t="str">
        <x:v>Кемеровская ТЭЦ</x:v>
      </x:c>
      <x:c r="B143" s="16" t="str">
        <x:v>2000114560-U312</x:v>
      </x:c>
      <x:c r="C143" s="16" t="str">
        <x:v>ШАЙБА D16 (КГ) ГОСТ11371-78</x:v>
      </x:c>
      <x:c r="D143" s="16" t="str">
        <x:v>Метизы</x:v>
      </x:c>
      <x:c r="E143" s="16" t="str">
        <x:v>КГ</x:v>
      </x:c>
      <x:c r="F143" s="21" t="n">
        <x:v>1</x:v>
      </x:c>
      <x:c r="G143" s="17" t="n">
        <x:v>109.19</x:v>
      </x:c>
      <x:c r="H143" s="17" t="n">
        <x:f>G143*F143</x:f>
        <x:v>109.19</x:v>
      </x:c>
      <x:c r="I143" s="22" t="str">
        <x:f>HYPERLINK("https://etp-aktiv.ru/catalog/materialy/metizy/2000114560-U312/","Открыть позицию")</x:f>
        <x:v>Открыть позицию</x:v>
      </x:c>
    </x:row>
    <x:row r="144" ht="28" customHeight="1">
      <x:c r="A144" s="16" t="str">
        <x:v>Кемеровская ТЭЦ</x:v>
      </x:c>
      <x:c r="B144" s="16" t="str">
        <x:v>2000148443-U312</x:v>
      </x:c>
      <x:c r="C144" s="16" t="str">
        <x:v>ШАЙБА М16 ГРОВЕР ГОСТ6402-78</x:v>
      </x:c>
      <x:c r="D144" s="16" t="str">
        <x:v>Метизы</x:v>
      </x:c>
      <x:c r="E144" s="16" t="str">
        <x:v>КГ</x:v>
      </x:c>
      <x:c r="F144" s="30" t="n">
        <x:v>0.83</x:v>
      </x:c>
      <x:c r="G144" s="17" t="n">
        <x:v>182.39</x:v>
      </x:c>
      <x:c r="H144" s="17" t="n">
        <x:f>G144*F144</x:f>
        <x:v>151.38369999999998</x:v>
      </x:c>
      <x:c r="I144" s="22" t="str">
        <x:f>HYPERLINK("https://etp-aktiv.ru/catalog/materialy/metizy/2000148443-U312/","Открыть позицию")</x:f>
        <x:v>Открыть позицию</x:v>
      </x:c>
    </x:row>
    <x:row r="145" ht="28" customHeight="1">
      <x:c r="A145" s="16" t="str">
        <x:v>Кемеровская ТЭЦ</x:v>
      </x:c>
      <x:c r="B145" s="16" t="str">
        <x:v>2000166302-U312</x:v>
      </x:c>
      <x:c r="C145" s="16" t="str">
        <x:v>ШАЙБА М20 ВЫСОКОПР ГОСТ22355-77</x:v>
      </x:c>
      <x:c r="D145" s="16" t="str">
        <x:v>Метизы</x:v>
      </x:c>
      <x:c r="E145" s="16" t="str">
        <x:v>ШТ</x:v>
      </x:c>
      <x:c r="F145" s="21" t="n">
        <x:v>24</x:v>
      </x:c>
      <x:c r="G145" s="17" t="n">
        <x:v>7.8934</x:v>
      </x:c>
      <x:c r="H145" s="17" t="n">
        <x:f>G145*F145</x:f>
        <x:v>189.4416</x:v>
      </x:c>
      <x:c r="I145" s="22" t="str">
        <x:f>HYPERLINK("https://etp-aktiv.ru/catalog/materialy/metizy/2000166302-U312/","Открыть позицию")</x:f>
        <x:v>Открыть позицию</x:v>
      </x:c>
    </x:row>
    <x:row r="146" ht="28" customHeight="1">
      <x:c r="A146" s="16" t="str">
        <x:v>Кемеровская ТЭЦ</x:v>
      </x:c>
      <x:c r="B146" s="16" t="str">
        <x:v>2000068582-U312</x:v>
      </x:c>
      <x:c r="C146" s="16" t="str">
        <x:v>ШАЙБА ПЛОСКАЯ М6 ГОСТ11371-78</x:v>
      </x:c>
      <x:c r="D146" s="16" t="str">
        <x:v>Метизы</x:v>
      </x:c>
      <x:c r="E146" s="16" t="str">
        <x:v>КГ</x:v>
      </x:c>
      <x:c r="F146" s="29" t="n">
        <x:v>2.096</x:v>
      </x:c>
      <x:c r="G146" s="17" t="n">
        <x:v>91.5</x:v>
      </x:c>
      <x:c r="H146" s="17" t="n">
        <x:f>G146*F146</x:f>
        <x:v>191.78400000000002</x:v>
      </x:c>
      <x:c r="I146" s="22" t="str">
        <x:f>HYPERLINK("https://etp-aktiv.ru/catalog/materialy/metizy/2000068582-U312/","Открыть позицию")</x:f>
        <x:v>Открыть позицию</x:v>
      </x:c>
    </x:row>
    <x:row r="147" ht="28" customHeight="1">
      <x:c r="A147" s="16" t="str">
        <x:v>Кемеровская ТЭЦ</x:v>
      </x:c>
      <x:c r="B147" s="16" t="str">
        <x:v>2000015031-U312</x:v>
      </x:c>
      <x:c r="C147" s="16" t="str">
        <x:v>ШВЕЛЛЕР СТ3 8 ГОСТ8240-97</x:v>
      </x:c>
      <x:c r="D147" s="16" t="str">
        <x:v>Металлопрокат черный</x:v>
      </x:c>
      <x:c r="E147" s="16" t="str">
        <x:v>Т</x:v>
      </x:c>
      <x:c r="F147" s="30" t="n">
        <x:v>0.136</x:v>
      </x:c>
      <x:c r="G147" s="17" t="n">
        <x:v>60176.011999999995</x:v>
      </x:c>
      <x:c r="H147" s="17" t="n">
        <x:f>G147*F147</x:f>
        <x:v>8183.937632</x:v>
      </x:c>
      <x:c r="I147" s="22" t="str">
        <x:f>HYPERLINK("https://etp-aktiv.ru/catalog/materialy/metalloprodukciya/2000015031-U312/","Открыть позицию")</x:f>
        <x:v>Открыть позицию</x:v>
      </x:c>
    </x:row>
    <x:row r="148" ht="28" customHeight="1">
      <x:c r="A148" s="16" t="str">
        <x:v>Кемеровская ТЭЦ</x:v>
      </x:c>
      <x:c r="B148" s="16" t="str">
        <x:v>2000566698-U312</x:v>
      </x:c>
      <x:c r="C148" s="16" t="str">
        <x:v>ШПИЛЬКА М20*70 ГОСТ22042-76</x:v>
      </x:c>
      <x:c r="D148" s="16" t="str">
        <x:v>Метизы</x:v>
      </x:c>
      <x:c r="E148" s="16" t="str">
        <x:v>ШТ</x:v>
      </x:c>
      <x:c r="F148" s="21" t="n">
        <x:v>96</x:v>
      </x:c>
      <x:c r="G148" s="17" t="n">
        <x:v>320.25</x:v>
      </x:c>
      <x:c r="H148" s="17" t="n">
        <x:f>G148*F148</x:f>
        <x:v>30744</x:v>
      </x:c>
      <x:c r="I148" s="22" t="str">
        <x:f>HYPERLINK("https://etp-aktiv.ru/catalog/materialy/metizy/2000566698-U312/","Открыть позицию")</x:f>
        <x:v>Открыть позицию</x:v>
      </x:c>
    </x:row>
    <x:row r="149" ht="28" customHeight="1">
      <x:c r="A149" s="16" t="str">
        <x:v>Кемеровская ТЭЦ</x:v>
      </x:c>
      <x:c r="B149" s="16" t="str">
        <x:v>2000530406-U312</x:v>
      </x:c>
      <x:c r="C149" s="16" t="str">
        <x:v>ШПИЛЬКА М22*100 ГОСТ22042-76</x:v>
      </x:c>
      <x:c r="D149" s="16" t="str">
        <x:v>Метизы</x:v>
      </x:c>
      <x:c r="E149" s="16" t="str">
        <x:v>ШТ</x:v>
      </x:c>
      <x:c r="F149" s="21" t="n">
        <x:v>16</x:v>
      </x:c>
      <x:c r="G149" s="17" t="n">
        <x:v>334.4386</x:v>
      </x:c>
      <x:c r="H149" s="17" t="n">
        <x:f>G149*F149</x:f>
        <x:v>5351.0176</x:v>
      </x:c>
      <x:c r="I149" s="22" t="str">
        <x:f>HYPERLINK("https://etp-aktiv.ru/catalog/materialy/metizy/2000530406-U312/","Открыть позицию")</x:f>
        <x:v>Открыть позицию</x:v>
      </x:c>
    </x:row>
    <x:row r="150" ht="28" customHeight="1">
      <x:c r="A150" s="16" t="str">
        <x:v>Кемеровская ТЭЦ</x:v>
      </x:c>
      <x:c r="B150" s="16" t="str">
        <x:v>2000695254-U312</x:v>
      </x:c>
      <x:c r="C150" s="16" t="str">
        <x:v>ЭЛЕКТРОД WL-15 2*175ММ ГОСТ23949-80</x:v>
      </x:c>
      <x:c r="D150" s="16" t="str">
        <x:v>Сварочные электроды</x:v>
      </x:c>
      <x:c r="E150" s="16" t="str">
        <x:v>ШТ</x:v>
      </x:c>
      <x:c r="F150" s="21" t="n">
        <x:v>27</x:v>
      </x:c>
      <x:c r="G150" s="17" t="n">
        <x:v>183</x:v>
      </x:c>
      <x:c r="H150" s="17" t="n">
        <x:f>G150*F150</x:f>
        <x:v>4941</x:v>
      </x:c>
      <x:c r="I150" s="22" t="str">
        <x:f>HYPERLINK("https://etp-aktiv.ru/catalog/materialy/svarochnye-ehlektrody/2000695254-U312/","Открыть позицию")</x:f>
        <x:v>Открыть позицию</x:v>
      </x:c>
    </x:row>
    <x:row r="151" ht="28" customHeight="1">
      <x:c r="A151" s="16" t="str">
        <x:v>Кемеровская ТЭЦ</x:v>
      </x:c>
      <x:c r="B151" s="16" t="str">
        <x:v>2000248282-U312</x:v>
      </x:c>
      <x:c r="C151" s="16" t="str">
        <x:v>ЭЛЕКТРОД АНО-6 4ММ</x:v>
      </x:c>
      <x:c r="D151" s="16" t="str">
        <x:v>Сварочные электроды</x:v>
      </x:c>
      <x:c r="E151" s="16" t="str">
        <x:v>Т</x:v>
      </x:c>
      <x:c r="F151" s="30" t="n">
        <x:v>0.31</x:v>
      </x:c>
      <x:c r="G151" s="17" t="n">
        <x:v>54499.9986</x:v>
      </x:c>
      <x:c r="H151" s="17" t="n">
        <x:f>G151*F151</x:f>
        <x:v>16894.999566</x:v>
      </x:c>
      <x:c r="I151" s="22" t="str">
        <x:f>HYPERLINK("https://etp-aktiv.ru/catalog/materialy/svarochnye-ehlektrody/2000248282-U312/","Открыть позицию")</x:f>
        <x:v>Открыть позицию</x:v>
      </x:c>
    </x:row>
    <x:row r="152" ht="28" customHeight="1">
      <x:c r="A152" s="16" t="str">
        <x:v>Кемеровская ТЭЦ</x:v>
      </x:c>
      <x:c r="B152" s="16" t="str">
        <x:v>2000226449-U312</x:v>
      </x:c>
      <x:c r="C152" s="16" t="str">
        <x:v>ЭЛЕКТРОДЫ ВОЛЬФРАМОВЫЕ WL 20 D2,4ММ</x:v>
      </x:c>
      <x:c r="D152" s="16" t="str">
        <x:v>Сварочные электроды</x:v>
      </x:c>
      <x:c r="E152" s="16" t="str">
        <x:v>ШТ</x:v>
      </x:c>
      <x:c r="F152" s="21" t="n">
        <x:v>30</x:v>
      </x:c>
      <x:c r="G152" s="17" t="n">
        <x:v>122</x:v>
      </x:c>
      <x:c r="H152" s="17" t="n">
        <x:f>G152*F152</x:f>
        <x:v>3660</x:v>
      </x:c>
      <x:c r="I152" s="22" t="str">
        <x:f>HYPERLINK("https://etp-aktiv.ru/catalog/materialy/svarochnye-ehlektrody/2000226449-U312/","Открыть позицию")</x:f>
        <x:v>Открыть позицию</x:v>
      </x:c>
    </x:row>
    <x:row r="153" ht="28" customHeight="1">
      <x:c r="A153" s="16" t="str">
        <x:v>Кемеровская теплосетевая компания</x:v>
      </x:c>
      <x:c r="B153" s="16" t="str">
        <x:v>2000972711-U121</x:v>
      </x:c>
      <x:c r="C153" s="16" t="str">
        <x:v>БАРЬЕР СББ ЕГОЗА АКЛ 500/50/3 ОЦ 10М</x:v>
      </x:c>
      <x:c r="D153" s="16" t="str">
        <x:v>Металлоконструкции</x:v>
      </x:c>
      <x:c r="E153" s="16" t="str">
        <x:v>ШТ</x:v>
      </x:c>
      <x:c r="F153" s="21" t="n">
        <x:v>2</x:v>
      </x:c>
      <x:c r="G153" s="17" t="n">
        <x:v>1288.2834</x:v>
      </x:c>
      <x:c r="H153" s="17" t="n">
        <x:f>G153*F153</x:f>
        <x:v>2576.5668</x:v>
      </x:c>
      <x:c r="I153" s="22" t="str">
        <x:f>HYPERLINK("https://etp-aktiv.ru/catalog/materialy/metallokonstrukcii/2000972711-U121/","Открыть позицию")</x:f>
        <x:v>Открыть позицию</x:v>
      </x:c>
    </x:row>
    <x:row r="154" ht="28" customHeight="1">
      <x:c r="A154" s="16" t="str">
        <x:v>Кемеровская теплосетевая компания</x:v>
      </x:c>
      <x:c r="B154" s="16" t="str">
        <x:v>2000981325-U121</x:v>
      </x:c>
      <x:c r="C154" s="16" t="str">
        <x:v>БОЛТ 1.2 М16*600 ВСТ3ПС2 ГОСТ24379.1-201</x:v>
      </x:c>
      <x:c r="D154" s="16" t="str">
        <x:v>Метизы</x:v>
      </x:c>
      <x:c r="E154" s="16" t="str">
        <x:v>КГ</x:v>
      </x:c>
      <x:c r="F154" s="30" t="n">
        <x:v>0.12</x:v>
      </x:c>
      <x:c r="G154" s="17" t="n">
        <x:v>15250</x:v>
      </x:c>
      <x:c r="H154" s="17" t="n">
        <x:f>G154*F154</x:f>
        <x:v>1830</x:v>
      </x:c>
      <x:c r="I154" s="22" t="str">
        <x:f>HYPERLINK("https://etp-aktiv.ru/catalog/materialy/metizy/2000981325-U121/","Открыть позицию")</x:f>
        <x:v>Открыть позицию</x:v>
      </x:c>
    </x:row>
    <x:row r="155" ht="28" customHeight="1">
      <x:c r="A155" s="16" t="str">
        <x:v>Кемеровская теплосетевая компания</x:v>
      </x:c>
      <x:c r="B155" s="16" t="str">
        <x:v>2000068389-U121</x:v>
      </x:c>
      <x:c r="C155" s="16" t="str">
        <x:v>БОЛТ М10*60 ГОСТ7805-70</x:v>
      </x:c>
      <x:c r="D155" s="16" t="str">
        <x:v>Метизы</x:v>
      </x:c>
      <x:c r="E155" s="16" t="str">
        <x:v>КГ</x:v>
      </x:c>
      <x:c r="F155" s="30" t="n">
        <x:v>0.158</x:v>
      </x:c>
      <x:c r="G155" s="17" t="n">
        <x:v>87.3764</x:v>
      </x:c>
      <x:c r="H155" s="17" t="n">
        <x:f>G155*F155</x:f>
        <x:v>13.805471200000001</x:v>
      </x:c>
      <x:c r="I155" s="22" t="str">
        <x:f>HYPERLINK("https://etp-aktiv.ru/catalog/materialy/metizy/2000068389-U121/","Открыть позицию")</x:f>
        <x:v>Открыть позицию</x:v>
      </x:c>
    </x:row>
    <x:row r="156" ht="28" customHeight="1">
      <x:c r="A156" s="16" t="str">
        <x:v>Кемеровская теплосетевая компания</x:v>
      </x:c>
      <x:c r="B156" s="16" t="str">
        <x:v>2000136536-U121</x:v>
      </x:c>
      <x:c r="C156" s="16" t="str">
        <x:v>БОЛТ М12*55 ГОСТ7805-70</x:v>
      </x:c>
      <x:c r="D156" s="16" t="str">
        <x:v>Метизы</x:v>
      </x:c>
      <x:c r="E156" s="16" t="str">
        <x:v>КГ</x:v>
      </x:c>
      <x:c r="F156" s="29" t="n">
        <x:v>2.247</x:v>
      </x:c>
      <x:c r="G156" s="17" t="n">
        <x:v>289.75</x:v>
      </x:c>
      <x:c r="H156" s="17" t="n">
        <x:f>G156*F156</x:f>
        <x:v>651.0682499999999</x:v>
      </x:c>
      <x:c r="I156" s="22" t="str">
        <x:f>HYPERLINK("https://etp-aktiv.ru/catalog/materialy/metizy/2000136536-U121/","Открыть позицию")</x:f>
        <x:v>Открыть позицию</x:v>
      </x:c>
    </x:row>
    <x:row r="157" ht="28" customHeight="1">
      <x:c r="A157" s="16" t="str">
        <x:v>Кемеровская теплосетевая компания</x:v>
      </x:c>
      <x:c r="B157" s="16" t="str">
        <x:v>2000068408-U121</x:v>
      </x:c>
      <x:c r="C157" s="16" t="str">
        <x:v>БОЛТ М12*60 ГОСТ7805-70</x:v>
      </x:c>
      <x:c r="D157" s="16" t="str">
        <x:v>Метизы</x:v>
      </x:c>
      <x:c r="E157" s="16" t="str">
        <x:v>КГ</x:v>
      </x:c>
      <x:c r="F157" s="29" t="n">
        <x:v>10.05</x:v>
      </x:c>
      <x:c r="G157" s="17" t="n">
        <x:v>100.74759999999999</x:v>
      </x:c>
      <x:c r="H157" s="17" t="n">
        <x:f>G157*F157</x:f>
        <x:v>1012.51338</x:v>
      </x:c>
      <x:c r="I157" s="22" t="str">
        <x:f>HYPERLINK("https://etp-aktiv.ru/catalog/materialy/metizy/2000068408-U121/","Открыть позицию")</x:f>
        <x:v>Открыть позицию</x:v>
      </x:c>
    </x:row>
    <x:row r="158" ht="28" customHeight="1">
      <x:c r="A158" s="16" t="str">
        <x:v>Кемеровская теплосетевая компания</x:v>
      </x:c>
      <x:c r="B158" s="16" t="str">
        <x:v>2000068427-U121</x:v>
      </x:c>
      <x:c r="C158" s="16" t="str">
        <x:v>БОЛТ М18*80 ГОСТ7805-70</x:v>
      </x:c>
      <x:c r="D158" s="16" t="str">
        <x:v>Метизы</x:v>
      </x:c>
      <x:c r="E158" s="16" t="str">
        <x:v>КГ</x:v>
      </x:c>
      <x:c r="F158" s="30" t="n">
        <x:v>0.064</x:v>
      </x:c>
      <x:c r="G158" s="17" t="n">
        <x:v>182.39</x:v>
      </x:c>
      <x:c r="H158" s="17" t="n">
        <x:f>G158*F158</x:f>
        <x:v>11.67296</x:v>
      </x:c>
      <x:c r="I158" s="22" t="str">
        <x:f>HYPERLINK("https://etp-aktiv.ru/catalog/materialy/metizy/2000068427-U121/","Открыть позицию")</x:f>
        <x:v>Открыть позицию</x:v>
      </x:c>
    </x:row>
    <x:row r="159" ht="28" customHeight="1">
      <x:c r="A159" s="16" t="str">
        <x:v>Кемеровская теплосетевая компания</x:v>
      </x:c>
      <x:c r="B159" s="16" t="str">
        <x:v>2000068429-U121</x:v>
      </x:c>
      <x:c r="C159" s="16" t="str">
        <x:v>БОЛТ М18*90 ГОСТ7805-70</x:v>
      </x:c>
      <x:c r="D159" s="16" t="str">
        <x:v>Метизы</x:v>
      </x:c>
      <x:c r="E159" s="16" t="str">
        <x:v>КГ</x:v>
      </x:c>
      <x:c r="F159" s="29" t="n">
        <x:v>3.576</x:v>
      </x:c>
      <x:c r="G159" s="17" t="n">
        <x:v>182.39</x:v>
      </x:c>
      <x:c r="H159" s="17" t="n">
        <x:f>G159*F159</x:f>
        <x:v>652.22664</x:v>
      </x:c>
      <x:c r="I159" s="22" t="str">
        <x:f>HYPERLINK("https://etp-aktiv.ru/catalog/materialy/metizy/2000068429-U121/","Открыть позицию")</x:f>
        <x:v>Открыть позицию</x:v>
      </x:c>
    </x:row>
    <x:row r="160" ht="28" customHeight="1">
      <x:c r="A160" s="16" t="str">
        <x:v>Кемеровская теплосетевая компания</x:v>
      </x:c>
      <x:c r="B160" s="16" t="str">
        <x:v>2000068272-U121</x:v>
      </x:c>
      <x:c r="C160" s="16" t="str">
        <x:v>БОЛТ М24*120 ГОСТ7805-70</x:v>
      </x:c>
      <x:c r="D160" s="16" t="str">
        <x:v>Метизы</x:v>
      </x:c>
      <x:c r="E160" s="16" t="str">
        <x:v>КГ</x:v>
      </x:c>
      <x:c r="F160" s="29" t="n">
        <x:v>39.82</x:v>
      </x:c>
      <x:c r="G160" s="17" t="n">
        <x:v>107.3722</x:v>
      </x:c>
      <x:c r="H160" s="17" t="n">
        <x:f>G160*F160</x:f>
        <x:v>4275.561004</x:v>
      </x:c>
      <x:c r="I160" s="22" t="str">
        <x:f>HYPERLINK("https://etp-aktiv.ru/catalog/materialy/metizy/2000068272-U121/","Открыть позицию")</x:f>
        <x:v>Открыть позицию</x:v>
      </x:c>
    </x:row>
    <x:row r="161" ht="28" customHeight="1">
      <x:c r="A161" s="16" t="str">
        <x:v>Кемеровская теплосетевая компания</x:v>
      </x:c>
      <x:c r="B161" s="16" t="str">
        <x:v>2000068339-U121</x:v>
      </x:c>
      <x:c r="C161" s="16" t="str">
        <x:v>БОЛТ М6*25 ГОСТ7805-70</x:v>
      </x:c>
      <x:c r="D161" s="16" t="str">
        <x:v>Метизы</x:v>
      </x:c>
      <x:c r="E161" s="16" t="str">
        <x:v>КГ</x:v>
      </x:c>
      <x:c r="F161" s="30" t="n">
        <x:v>0.143</x:v>
      </x:c>
      <x:c r="G161" s="17" t="n">
        <x:v>47.994800000000005</x:v>
      </x:c>
      <x:c r="H161" s="17" t="n">
        <x:f>G161*F161</x:f>
        <x:v>6.8632564</x:v>
      </x:c>
      <x:c r="I161" s="22" t="str">
        <x:f>HYPERLINK("https://etp-aktiv.ru/catalog/materialy/metizy/2000068339-U121/","Открыть позицию")</x:f>
        <x:v>Открыть позицию</x:v>
      </x:c>
    </x:row>
    <x:row r="162" ht="28" customHeight="1">
      <x:c r="A162" s="16" t="str">
        <x:v>Кемеровская теплосетевая компания</x:v>
      </x:c>
      <x:c r="B162" s="16" t="str">
        <x:v>2000529845-U121</x:v>
      </x:c>
      <x:c r="C162" s="16" t="str">
        <x:v>ГАЙКА М10 8 ОЦ DIN934</x:v>
      </x:c>
      <x:c r="D162" s="16" t="str">
        <x:v>Метизы</x:v>
      </x:c>
      <x:c r="E162" s="16" t="str">
        <x:v>КГ</x:v>
      </x:c>
      <x:c r="F162" s="29" t="n">
        <x:v>1.752</x:v>
      </x:c>
      <x:c r="G162" s="17" t="n">
        <x:v>288.22499999999997</x:v>
      </x:c>
      <x:c r="H162" s="17" t="n">
        <x:f>G162*F162</x:f>
        <x:v>504.9701999999999</x:v>
      </x:c>
      <x:c r="I162" s="22" t="str">
        <x:f>HYPERLINK("https://etp-aktiv.ru/catalog/materialy/metizy/2000529845-U121/","Открыть позицию")</x:f>
        <x:v>Открыть позицию</x:v>
      </x:c>
    </x:row>
    <x:row r="163" ht="28" customHeight="1">
      <x:c r="A163" s="16" t="str">
        <x:v>Кемеровская теплосетевая компания</x:v>
      </x:c>
      <x:c r="B163" s="16" t="str">
        <x:v>2000068474-U121</x:v>
      </x:c>
      <x:c r="C163" s="16" t="str">
        <x:v>ГАЙКА М12 ГОСТ5915-70</x:v>
      </x:c>
      <x:c r="D163" s="16" t="str">
        <x:v>Метизы</x:v>
      </x:c>
      <x:c r="E163" s="16" t="str">
        <x:v>КГ</x:v>
      </x:c>
      <x:c r="F163" s="30" t="n">
        <x:v>0.155</x:v>
      </x:c>
      <x:c r="G163" s="17" t="n">
        <x:v>106.3108</x:v>
      </x:c>
      <x:c r="H163" s="17" t="n">
        <x:f>G163*F163</x:f>
        <x:v>16.478174</x:v>
      </x:c>
      <x:c r="I163" s="22" t="str">
        <x:f>HYPERLINK("https://etp-aktiv.ru/catalog/materialy/metizy/2000068474-U121/","Открыть позицию")</x:f>
        <x:v>Открыть позицию</x:v>
      </x:c>
    </x:row>
    <x:row r="164" ht="28" customHeight="1">
      <x:c r="A164" s="16" t="str">
        <x:v>Кемеровская теплосетевая компания</x:v>
      </x:c>
      <x:c r="B164" s="16" t="str">
        <x:v>2000530052-U121</x:v>
      </x:c>
      <x:c r="C164" s="16" t="str">
        <x:v>ГАЙКА М16 ГОСТ5916-70</x:v>
      </x:c>
      <x:c r="D164" s="16" t="str">
        <x:v>Метизы</x:v>
      </x:c>
      <x:c r="E164" s="16" t="str">
        <x:v>КГ</x:v>
      </x:c>
      <x:c r="F164" s="30" t="n">
        <x:v>0.644</x:v>
      </x:c>
      <x:c r="G164" s="17" t="n">
        <x:v>85.2658</x:v>
      </x:c>
      <x:c r="H164" s="17" t="n">
        <x:f>G164*F164</x:f>
        <x:v>54.9111752</x:v>
      </x:c>
      <x:c r="I164" s="22" t="str">
        <x:f>HYPERLINK("https://etp-aktiv.ru/catalog/materialy/metizy/2000530052-U121/","Открыть позицию")</x:f>
        <x:v>Открыть позицию</x:v>
      </x:c>
    </x:row>
    <x:row r="165" ht="28" customHeight="1">
      <x:c r="A165" s="16" t="str">
        <x:v>Кемеровская теплосетевая компания</x:v>
      </x:c>
      <x:c r="B165" s="16" t="str">
        <x:v>2000445663-U121</x:v>
      </x:c>
      <x:c r="C165" s="16" t="str">
        <x:v>ГАЙКА М16-6Н.5.019 S24 ГОСТ5915-70</x:v>
      </x:c>
      <x:c r="D165" s="16" t="str">
        <x:v>Метизы</x:v>
      </x:c>
      <x:c r="E165" s="16" t="str">
        <x:v>КГ</x:v>
      </x:c>
      <x:c r="F165" s="29" t="n">
        <x:v>2.572</x:v>
      </x:c>
      <x:c r="G165" s="17" t="n">
        <x:v>116.7418</x:v>
      </x:c>
      <x:c r="H165" s="17" t="n">
        <x:f>G165*F165</x:f>
        <x:v>300.2599096</x:v>
      </x:c>
      <x:c r="I165" s="22" t="str">
        <x:f>HYPERLINK("https://etp-aktiv.ru/catalog/materialy/metizy/2000445663-U121/","Открыть позицию")</x:f>
        <x:v>Открыть позицию</x:v>
      </x:c>
    </x:row>
    <x:row r="166" ht="28" customHeight="1">
      <x:c r="A166" s="16" t="str">
        <x:v>Кемеровская теплосетевая компания</x:v>
      </x:c>
      <x:c r="B166" s="16" t="str">
        <x:v>2000068476-U121</x:v>
      </x:c>
      <x:c r="C166" s="16" t="str">
        <x:v>ГАЙКА М18 ГОСТ5915-70</x:v>
      </x:c>
      <x:c r="D166" s="16" t="str">
        <x:v>Метизы</x:v>
      </x:c>
      <x:c r="E166" s="16" t="str">
        <x:v>КГ</x:v>
      </x:c>
      <x:c r="F166" s="30" t="n">
        <x:v>0.404</x:v>
      </x:c>
      <x:c r="G166" s="17" t="n">
        <x:v>170.00699999999998</x:v>
      </x:c>
      <x:c r="H166" s="17" t="n">
        <x:f>G166*F166</x:f>
        <x:v>68.682828</x:v>
      </x:c>
      <x:c r="I166" s="22" t="str">
        <x:f>HYPERLINK("https://etp-aktiv.ru/catalog/materialy/metizy/2000068476-U121/","Открыть позицию")</x:f>
        <x:v>Открыть позицию</x:v>
      </x:c>
    </x:row>
    <x:row r="167" ht="28" customHeight="1">
      <x:c r="A167" s="16" t="str">
        <x:v>Кемеровская теплосетевая компания</x:v>
      </x:c>
      <x:c r="B167" s="16" t="str">
        <x:v>2000649659-U121</x:v>
      </x:c>
      <x:c r="C167" s="16" t="str">
        <x:v>ГАЙКА М30-10 СТ35Х ГОСТ ISO4032-2014</x:v>
      </x:c>
      <x:c r="D167" s="16" t="str">
        <x:v>Метизы</x:v>
      </x:c>
      <x:c r="E167" s="16" t="str">
        <x:v>КГ</x:v>
      </x:c>
      <x:c r="F167" s="30" t="n">
        <x:v>0.042</x:v>
      </x:c>
      <x:c r="G167" s="17" t="n">
        <x:v>128.7466</x:v>
      </x:c>
      <x:c r="H167" s="17" t="n">
        <x:f>G167*F167</x:f>
        <x:v>5.407357200000001</x:v>
      </x:c>
      <x:c r="I167" s="22" t="str">
        <x:f>HYPERLINK("https://etp-aktiv.ru/catalog/materialy/metizy/2000649659-U121/","Открыть позицию")</x:f>
        <x:v>Открыть позицию</x:v>
      </x:c>
    </x:row>
    <x:row r="168" ht="28" customHeight="1">
      <x:c r="A168" s="16" t="str">
        <x:v>Кемеровская теплосетевая компания</x:v>
      </x:c>
      <x:c r="B168" s="16" t="str">
        <x:v>2000307481-U121</x:v>
      </x:c>
      <x:c r="C168" s="16" t="str">
        <x:v>ГВОЗДЬ 4*100 ГОСТ9870-61</x:v>
      </x:c>
      <x:c r="D168" s="16" t="str">
        <x:v>Метизы</x:v>
      </x:c>
      <x:c r="E168" s="16" t="str">
        <x:v>КГ</x:v>
      </x:c>
      <x:c r="F168" s="29" t="n">
        <x:v>1.418</x:v>
      </x:c>
      <x:c r="G168" s="17" t="n">
        <x:v>119.13300000000001</x:v>
      </x:c>
      <x:c r="H168" s="17" t="n">
        <x:f>G168*F168</x:f>
        <x:v>168.930594</x:v>
      </x:c>
      <x:c r="I168" s="22" t="str">
        <x:f>HYPERLINK("https://etp-aktiv.ru/catalog/materialy/metizy/2000307481-U121/","Открыть позицию")</x:f>
        <x:v>Открыть позицию</x:v>
      </x:c>
    </x:row>
    <x:row r="169" ht="28" customHeight="1">
      <x:c r="A169" s="16" t="str">
        <x:v>Кемеровская теплосетевая компания</x:v>
      </x:c>
      <x:c r="B169" s="16" t="str">
        <x:v>2000871400-U121</x:v>
      </x:c>
      <x:c r="C169" s="16" t="str">
        <x:v>ДВУТАВР С245 25Б1 СТО АСЧМ20-93</x:v>
      </x:c>
      <x:c r="D169" s="16" t="str">
        <x:v>Металлопрокат черный</x:v>
      </x:c>
      <x:c r="E169" s="16" t="str">
        <x:v>Т</x:v>
      </x:c>
      <x:c r="F169" s="30" t="n">
        <x:v>0.308</x:v>
      </x:c>
      <x:c r="G169" s="17" t="n">
        <x:v>82505.8184</x:v>
      </x:c>
      <x:c r="H169" s="17" t="n">
        <x:f>G169*F169</x:f>
        <x:v>25411.7920672</x:v>
      </x:c>
      <x:c r="I169" s="22" t="str">
        <x:f>HYPERLINK("https://etp-aktiv.ru/catalog/materialy/metalloprodukciya/2000871400-U121/","Открыть позицию")</x:f>
        <x:v>Открыть позицию</x:v>
      </x:c>
    </x:row>
    <x:row r="170" ht="28" customHeight="1">
      <x:c r="A170" s="16" t="str">
        <x:v>Кемеровская теплосетевая компания</x:v>
      </x:c>
      <x:c r="B170" s="16" t="str">
        <x:v>2000015313-U121</x:v>
      </x:c>
      <x:c r="C170" s="16" t="str">
        <x:v>КРУГ СТ3 D16ММ ГОСТ2590-2006</x:v>
      </x:c>
      <x:c r="D170" s="16" t="str">
        <x:v>Металлопрокат черный</x:v>
      </x:c>
      <x:c r="E170" s="16" t="str">
        <x:v>Т</x:v>
      </x:c>
      <x:c r="F170" s="30" t="n">
        <x:v>0.009</x:v>
      </x:c>
      <x:c r="G170" s="17" t="n">
        <x:v>64805.3874</x:v>
      </x:c>
      <x:c r="H170" s="17" t="n">
        <x:f>G170*F170</x:f>
        <x:v>583.2484866</x:v>
      </x:c>
      <x:c r="I170" s="22" t="str">
        <x:f>HYPERLINK("https://etp-aktiv.ru/catalog/materialy/metalloprodukciya/2000015313-U121/","Открыть позицию")</x:f>
        <x:v>Открыть позицию</x:v>
      </x:c>
    </x:row>
    <x:row r="171" ht="28" customHeight="1">
      <x:c r="A171" s="16" t="str">
        <x:v>Кемеровская теплосетевая компания</x:v>
      </x:c>
      <x:c r="B171" s="16" t="str">
        <x:v>2000766684-U121</x:v>
      </x:c>
      <x:c r="C171" s="16" t="str">
        <x:v>ЛИСТ 08КП Б-ПН-НО 0,8*600*1200 ГОСТ14918</x:v>
      </x:c>
      <x:c r="D171" s="16" t="str">
        <x:v>Металлопрокат черный</x:v>
      </x:c>
      <x:c r="E171" s="16" t="str">
        <x:v>Т</x:v>
      </x:c>
      <x:c r="F171" s="30" t="n">
        <x:v>0.049</x:v>
      </x:c>
      <x:c r="G171" s="17" t="n">
        <x:v>80062.5</x:v>
      </x:c>
      <x:c r="H171" s="17" t="n">
        <x:f>G171*F171</x:f>
        <x:v>3923.0625</x:v>
      </x:c>
      <x:c r="I171" s="22" t="str">
        <x:f>HYPERLINK("https://etp-aktiv.ru/catalog/materialy/metalloprodukciya/2000766684-U121/","Открыть позицию")</x:f>
        <x:v>Открыть позицию</x:v>
      </x:c>
    </x:row>
    <x:row r="172" ht="28" customHeight="1">
      <x:c r="A172" s="16" t="str">
        <x:v>Кемеровская теплосетевая компания</x:v>
      </x:c>
      <x:c r="B172" s="16" t="str">
        <x:v>2000578230-U121</x:v>
      </x:c>
      <x:c r="C172" s="16" t="str">
        <x:v>ЛИСТ Г/К С245 16ММ ГОСТ19903-74</x:v>
      </x:c>
      <x:c r="D172" s="16" t="str">
        <x:v>Металлопрокат прочий</x:v>
      </x:c>
      <x:c r="E172" s="16" t="str">
        <x:v>Т</x:v>
      </x:c>
      <x:c r="F172" s="30" t="n">
        <x:v>0.032</x:v>
      </x:c>
      <x:c r="G172" s="17" t="n">
        <x:v>14030</x:v>
      </x:c>
      <x:c r="H172" s="17" t="n">
        <x:f>G172*F172</x:f>
        <x:v>448.96000000000004</x:v>
      </x:c>
      <x:c r="I172" s="22" t="str">
        <x:f>HYPERLINK("https://etp-aktiv.ru/catalog/materialy/metalloprodukciya/2000578230-U121/","Открыть позицию")</x:f>
        <x:v>Открыть позицию</x:v>
      </x:c>
    </x:row>
    <x:row r="173" ht="28" customHeight="1">
      <x:c r="A173" s="16" t="str">
        <x:v>Кемеровская теплосетевая компания</x:v>
      </x:c>
      <x:c r="B173" s="16" t="str">
        <x:v>2000190888-U121</x:v>
      </x:c>
      <x:c r="C173" s="16" t="str">
        <x:v>ЛИСТ Г/К СТ3 6 ГОСТ19903-74</x:v>
      </x:c>
      <x:c r="D173" s="16" t="str">
        <x:v>Металлопрокат черный</x:v>
      </x:c>
      <x:c r="E173" s="16" t="str">
        <x:v>Т</x:v>
      </x:c>
      <x:c r="F173" s="30" t="n">
        <x:v>0.03</x:v>
      </x:c>
      <x:c r="G173" s="17" t="n">
        <x:v>69235</x:v>
      </x:c>
      <x:c r="H173" s="17" t="n">
        <x:f>G173*F173</x:f>
        <x:v>2077.0499999999997</x:v>
      </x:c>
      <x:c r="I173" s="22" t="str">
        <x:f>HYPERLINK("https://etp-aktiv.ru/catalog/materialy/metalloprodukciya/2000190888-U121/","Открыть позицию")</x:f>
        <x:v>Открыть позицию</x:v>
      </x:c>
    </x:row>
    <x:row r="174" ht="28" customHeight="1">
      <x:c r="A174" s="16" t="str">
        <x:v>Кемеровская теплосетевая компания</x:v>
      </x:c>
      <x:c r="B174" s="16" t="str">
        <x:v>2000482064-U121</x:v>
      </x:c>
      <x:c r="C174" s="16" t="str">
        <x:v>ЛИСТ ОЦ СТ3 0,4*1250*2500 ГОСТ14918-80</x:v>
      </x:c>
      <x:c r="D174" s="16" t="str">
        <x:v>Металлопрокат черный</x:v>
      </x:c>
      <x:c r="E174" s="16" t="str">
        <x:v>Т</x:v>
      </x:c>
      <x:c r="F174" s="30" t="n">
        <x:v>0.029</x:v>
      </x:c>
      <x:c r="G174" s="17" t="n">
        <x:v>89975</x:v>
      </x:c>
      <x:c r="H174" s="17" t="n">
        <x:f>G174*F174</x:f>
        <x:v>2609.275</x:v>
      </x:c>
      <x:c r="I174" s="22" t="str">
        <x:f>HYPERLINK("https://etp-aktiv.ru/catalog/materialy/metalloprodukciya/2000482064-U121/","Открыть позицию")</x:f>
        <x:v>Открыть позицию</x:v>
      </x:c>
    </x:row>
    <x:row r="175" ht="28" customHeight="1">
      <x:c r="A175" s="16" t="str">
        <x:v>Кемеровская теплосетевая компания</x:v>
      </x:c>
      <x:c r="B175" s="16" t="str">
        <x:v>2000673514-U121</x:v>
      </x:c>
      <x:c r="C175" s="16" t="str">
        <x:v>ЛИСТ С245 2000*6000*10 ГОСТ19903-2015</x:v>
      </x:c>
      <x:c r="D175" s="16" t="str">
        <x:v>Металлопрокат черный</x:v>
      </x:c>
      <x:c r="E175" s="16" t="str">
        <x:v>Т</x:v>
      </x:c>
      <x:c r="F175" s="30" t="n">
        <x:v>0.507</x:v>
      </x:c>
      <x:c r="G175" s="17" t="n">
        <x:v>87687.5</x:v>
      </x:c>
      <x:c r="H175" s="17" t="n">
        <x:f>G175*F175</x:f>
        <x:v>44457.5625</x:v>
      </x:c>
      <x:c r="I175" s="22" t="str">
        <x:f>HYPERLINK("https://etp-aktiv.ru/catalog/materialy/metalloprodukciya/2000673514-U121/","Открыть позицию")</x:f>
        <x:v>Открыть позицию</x:v>
      </x:c>
    </x:row>
    <x:row r="176" ht="28" customHeight="1">
      <x:c r="A176" s="16" t="str">
        <x:v>Кемеровская теплосетевая компания</x:v>
      </x:c>
      <x:c r="B176" s="16" t="str">
        <x:v>2000555931-U121</x:v>
      </x:c>
      <x:c r="C176" s="16" t="str">
        <x:v>ЛИСТ С245 5ММ ГОСТ27772-2015</x:v>
      </x:c>
      <x:c r="D176" s="16" t="str">
        <x:v>Металлопрокат черный</x:v>
      </x:c>
      <x:c r="E176" s="16" t="str">
        <x:v>Т</x:v>
      </x:c>
      <x:c r="F176" s="30" t="n">
        <x:v>0.144</x:v>
      </x:c>
      <x:c r="G176" s="17" t="n">
        <x:v>53659.02819999999</x:v>
      </x:c>
      <x:c r="H176" s="17" t="n">
        <x:f>G176*F176</x:f>
        <x:v>7726.900060799999</x:v>
      </x:c>
      <x:c r="I176" s="22" t="str">
        <x:f>HYPERLINK("https://etp-aktiv.ru/catalog/materialy/metalloprodukciya/2000555931-U121/","Открыть позицию")</x:f>
        <x:v>Открыть позицию</x:v>
      </x:c>
    </x:row>
    <x:row r="177" ht="28" customHeight="1">
      <x:c r="A177" s="16" t="str">
        <x:v>Кемеровская теплосетевая компания</x:v>
      </x:c>
      <x:c r="B177" s="16" t="str">
        <x:v>2000555998-U121</x:v>
      </x:c>
      <x:c r="C177" s="16" t="str">
        <x:v>ЛИСТ СТ08 ОЦ 0,8ММ ГОСТ14918-80</x:v>
      </x:c>
      <x:c r="D177" s="16" t="str">
        <x:v>Металлопрокат прочий</x:v>
      </x:c>
      <x:c r="E177" s="16" t="str">
        <x:v>Т</x:v>
      </x:c>
      <x:c r="F177" s="30" t="n">
        <x:v>0.047</x:v>
      </x:c>
      <x:c r="G177" s="17" t="n">
        <x:v>16264.125</x:v>
      </x:c>
      <x:c r="H177" s="17" t="n">
        <x:f>G177*F177</x:f>
        <x:v>764.413875</x:v>
      </x:c>
      <x:c r="I177" s="22" t="str">
        <x:f>HYPERLINK("https://etp-aktiv.ru/catalog/materialy/metalloprodukciya/2000555998-U121/","Открыть позицию")</x:f>
        <x:v>Открыть позицию</x:v>
      </x:c>
    </x:row>
    <x:row r="178" ht="28" customHeight="1">
      <x:c r="A178" s="16" t="str">
        <x:v>Кемеровская теплосетевая компания</x:v>
      </x:c>
      <x:c r="B178" s="16" t="str">
        <x:v>2000555993-U121</x:v>
      </x:c>
      <x:c r="C178" s="16" t="str">
        <x:v>ЛИСТ СТ083СП ОЦ Б-ПН-НО 1,0*1250*2500</x:v>
      </x:c>
      <x:c r="D178" s="16" t="str">
        <x:v>Металлопрокат черный</x:v>
      </x:c>
      <x:c r="E178" s="16" t="str">
        <x:v>Т</x:v>
      </x:c>
      <x:c r="F178" s="30" t="n">
        <x:v>0.025</x:v>
      </x:c>
      <x:c r="G178" s="17" t="n">
        <x:v>75699.41399999999</x:v>
      </x:c>
      <x:c r="H178" s="17" t="n">
        <x:f>G178*F178</x:f>
        <x:v>1892.48535</x:v>
      </x:c>
      <x:c r="I178" s="22" t="str">
        <x:f>HYPERLINK("https://etp-aktiv.ru/catalog/materialy/metalloprodukciya/2000555993-U121/","Открыть позицию")</x:f>
        <x:v>Открыть позицию</x:v>
      </x:c>
    </x:row>
    <x:row r="179" ht="28" customHeight="1">
      <x:c r="A179" s="16" t="str">
        <x:v>Кемеровская теплосетевая компания</x:v>
      </x:c>
      <x:c r="B179" s="16" t="str">
        <x:v>2000148572-U121</x:v>
      </x:c>
      <x:c r="C179" s="16" t="str">
        <x:v>ЛИСТ СТ3 8ММ ГОСТ19904-90</x:v>
      </x:c>
      <x:c r="D179" s="16" t="str">
        <x:v>Металлопрокат черный</x:v>
      </x:c>
      <x:c r="E179" s="16" t="str">
        <x:v>Т</x:v>
      </x:c>
      <x:c r="F179" s="30" t="n">
        <x:v>0.083</x:v>
      </x:c>
      <x:c r="G179" s="17" t="n">
        <x:v>57600.6652</x:v>
      </x:c>
      <x:c r="H179" s="17" t="n">
        <x:f>G179*F179</x:f>
        <x:v>4780.8552116</x:v>
      </x:c>
      <x:c r="I179" s="22" t="str">
        <x:f>HYPERLINK("https://etp-aktiv.ru/catalog/materialy/metalloprodukciya/2000148572-U121/","Открыть позицию")</x:f>
        <x:v>Открыть позицию</x:v>
      </x:c>
    </x:row>
    <x:row r="180" ht="28" customHeight="1">
      <x:c r="A180" s="16" t="str">
        <x:v>Кемеровская теплосетевая компания</x:v>
      </x:c>
      <x:c r="B180" s="16" t="str">
        <x:v>2000977415-U121</x:v>
      </x:c>
      <x:c r="C180" s="16" t="str">
        <x:v>ПОЛОСА СТ3 2*20 ГОСТ103-2006</x:v>
      </x:c>
      <x:c r="D180" s="16" t="str">
        <x:v>Металлопрокат прочий</x:v>
      </x:c>
      <x:c r="E180" s="16" t="str">
        <x:v>Т</x:v>
      </x:c>
      <x:c r="F180" s="30" t="n">
        <x:v>0.015</x:v>
      </x:c>
      <x:c r="G180" s="17" t="n">
        <x:v>80360.18</x:v>
      </x:c>
      <x:c r="H180" s="17" t="n">
        <x:f>G180*F180</x:f>
        <x:v>1205.4026999999999</x:v>
      </x:c>
      <x:c r="I180" s="22" t="str">
        <x:f>HYPERLINK("https://etp-aktiv.ru/catalog/materialy/metalloprodukciya/2000977415-U121/","Открыть позицию")</x:f>
        <x:v>Открыть позицию</x:v>
      </x:c>
    </x:row>
    <x:row r="181" ht="28" customHeight="1">
      <x:c r="A181" s="16" t="str">
        <x:v>Кемеровская теплосетевая компания</x:v>
      </x:c>
      <x:c r="B181" s="16" t="str">
        <x:v>2000140759-U121</x:v>
      </x:c>
      <x:c r="C181" s="16" t="str">
        <x:v>ПОЛОСА СТ3 50*5 ГОСТ103-76</x:v>
      </x:c>
      <x:c r="D181" s="16" t="str">
        <x:v>Металлопрокат прочий</x:v>
      </x:c>
      <x:c r="E181" s="16" t="str">
        <x:v>Т</x:v>
      </x:c>
      <x:c r="F181" s="30" t="n">
        <x:v>0.06</x:v>
      </x:c>
      <x:c r="G181" s="17" t="n">
        <x:v>96075</x:v>
      </x:c>
      <x:c r="H181" s="17" t="n">
        <x:f>G181*F181</x:f>
        <x:v>5764.5</x:v>
      </x:c>
      <x:c r="I181" s="22" t="str">
        <x:f>HYPERLINK("https://etp-aktiv.ru/catalog/materialy/metalloprodukciya/2000140759-U121/","Открыть позицию")</x:f>
        <x:v>Открыть позицию</x:v>
      </x:c>
    </x:row>
    <x:row r="182" ht="28" customHeight="1">
      <x:c r="A182" s="16" t="str">
        <x:v>Кемеровская теплосетевая компания</x:v>
      </x:c>
      <x:c r="B182" s="16" t="str">
        <x:v>2000068622-U121</x:v>
      </x:c>
      <x:c r="C182" s="16" t="str">
        <x:v>ПРОВОЛОКА D5ММ ВР-1 ГОСТ6727-80</x:v>
      </x:c>
      <x:c r="D182" s="16" t="str">
        <x:v>Метизы</x:v>
      </x:c>
      <x:c r="E182" s="16" t="str">
        <x:v>Т</x:v>
      </x:c>
      <x:c r="F182" s="30" t="n">
        <x:v>0.107</x:v>
      </x:c>
      <x:c r="G182" s="17" t="n">
        <x:v>14030</x:v>
      </x:c>
      <x:c r="H182" s="17" t="n">
        <x:f>G182*F182</x:f>
        <x:v>1501.21</x:v>
      </x:c>
      <x:c r="I182" s="22" t="str">
        <x:f>HYPERLINK("https://etp-aktiv.ru/catalog/materialy/metizy/2000068622-U121/","Открыть позицию")</x:f>
        <x:v>Открыть позицию</x:v>
      </x:c>
    </x:row>
    <x:row r="183" ht="28" customHeight="1">
      <x:c r="A183" s="16" t="str">
        <x:v>Кемеровская теплосетевая компания</x:v>
      </x:c>
      <x:c r="B183" s="16" t="str">
        <x:v>2000465758-U121</x:v>
      </x:c>
      <x:c r="C183" s="16" t="str">
        <x:v>ПРОФЛИСТ С-8 1200*6000 ГОСТ24045</x:v>
      </x:c>
      <x:c r="D183" s="16" t="str">
        <x:v>Металлопрокат прочий</x:v>
      </x:c>
      <x:c r="E183" s="16" t="str">
        <x:v>М2</x:v>
      </x:c>
      <x:c r="F183" s="29" t="n">
        <x:v>75.05</x:v>
      </x:c>
      <x:c r="G183" s="17" t="n">
        <x:v>412.5064</x:v>
      </x:c>
      <x:c r="H183" s="17" t="n">
        <x:f>G183*F183</x:f>
        <x:v>30958.60532</x:v>
      </x:c>
      <x:c r="I183" s="22" t="str">
        <x:f>HYPERLINK("https://etp-aktiv.ru/catalog/materialy/metalloprodukciya/2000465758-U121/","Открыть позицию")</x:f>
        <x:v>Открыть позицию</x:v>
      </x:c>
    </x:row>
    <x:row r="184" ht="28" customHeight="1">
      <x:c r="A184" s="16" t="str">
        <x:v>Кемеровская теплосетевая компания</x:v>
      </x:c>
      <x:c r="B184" s="16" t="str">
        <x:v>2000581671-U121</x:v>
      </x:c>
      <x:c r="C184" s="16" t="str">
        <x:v>ПРОФЛИСТ С8-1150-0,5 3М RAL8017ГОСТ24045</x:v>
      </x:c>
      <x:c r="D184" s="16" t="str">
        <x:v>Металлопрокат прочий</x:v>
      </x:c>
      <x:c r="E184" s="16" t="str">
        <x:v>М2</x:v>
      </x:c>
      <x:c r="F184" s="29" t="n">
        <x:v>93.6</x:v>
      </x:c>
      <x:c r="G184" s="17" t="n">
        <x:v>306.98859999999996</x:v>
      </x:c>
      <x:c r="H184" s="17" t="n">
        <x:f>G184*F184</x:f>
        <x:v>28734.132959999995</x:v>
      </x:c>
      <x:c r="I184" s="22" t="str">
        <x:f>HYPERLINK("https://etp-aktiv.ru/catalog/materialy/metalloprodukciya/2000581671-U121/","Открыть позицию")</x:f>
        <x:v>Открыть позицию</x:v>
      </x:c>
    </x:row>
    <x:row r="185" ht="28" customHeight="1">
      <x:c r="A185" s="16" t="str">
        <x:v>Кемеровская теплосетевая компания</x:v>
      </x:c>
      <x:c r="B185" s="16" t="str">
        <x:v>2000742603-U121</x:v>
      </x:c>
      <x:c r="C185" s="16" t="str">
        <x:v>ПРОФНАСТИЛ Н57-750-0,7 ГОСТ24045-94</x:v>
      </x:c>
      <x:c r="D185" s="16" t="str">
        <x:v>Металлопрокат прочий</x:v>
      </x:c>
      <x:c r="E185" s="16" t="str">
        <x:v>М2</x:v>
      </x:c>
      <x:c r="F185" s="29" t="n">
        <x:v>16.82</x:v>
      </x:c>
      <x:c r="G185" s="17" t="n">
        <x:v>1100.745</x:v>
      </x:c>
      <x:c r="H185" s="17" t="n">
        <x:f>G185*F185</x:f>
        <x:v>18514.530899999998</x:v>
      </x:c>
      <x:c r="I185" s="22" t="str">
        <x:f>HYPERLINK("https://etp-aktiv.ru/catalog/materialy/metalloprodukciya/2000742603-U121/","Открыть позицию")</x:f>
        <x:v>Открыть позицию</x:v>
      </x:c>
    </x:row>
    <x:row r="186" ht="28" customHeight="1">
      <x:c r="A186" s="16" t="str">
        <x:v>Кемеровская теплосетевая компания</x:v>
      </x:c>
      <x:c r="B186" s="16" t="str">
        <x:v>2000036177-U121</x:v>
      </x:c>
      <x:c r="C186" s="16" t="str">
        <x:v>ПРОФНАСТИЛ Н60-845-0,7 ГОСТ24045-94</x:v>
      </x:c>
      <x:c r="D186" s="16" t="str">
        <x:v>Металлопрокат прочий</x:v>
      </x:c>
      <x:c r="E186" s="16" t="str">
        <x:v>М2</x:v>
      </x:c>
      <x:c r="F186" s="29" t="n">
        <x:v>10.824</x:v>
      </x:c>
      <x:c r="G186" s="17" t="n">
        <x:v>1088.85</x:v>
      </x:c>
      <x:c r="H186" s="17" t="n">
        <x:f>G186*F186</x:f>
        <x:v>11785.712399999999</x:v>
      </x:c>
      <x:c r="I186" s="22" t="str">
        <x:f>HYPERLINK("https://etp-aktiv.ru/catalog/materialy/metalloprodukciya/2000036177-U121/","Открыть позицию")</x:f>
        <x:v>Открыть позицию</x:v>
      </x:c>
    </x:row>
    <x:row r="187" ht="28" customHeight="1">
      <x:c r="A187" s="16" t="str">
        <x:v>Кемеровская теплосетевая компания</x:v>
      </x:c>
      <x:c r="B187" s="16" t="str">
        <x:v>2000580774-U121</x:v>
      </x:c>
      <x:c r="C187" s="16" t="str">
        <x:v>САМОРЕЗ 4,2*25 ШСММ П/Ш СВЕРЛО DIN7504</x:v>
      </x:c>
      <x:c r="D187" s="16" t="str">
        <x:v>Метизы</x:v>
      </x:c>
      <x:c r="E187" s="16" t="str">
        <x:v>ШТ</x:v>
      </x:c>
      <x:c r="F187" s="21" t="n">
        <x:v>550</x:v>
      </x:c>
      <x:c r="G187" s="17" t="n">
        <x:v>0.3294</x:v>
      </x:c>
      <x:c r="H187" s="17" t="n">
        <x:f>G187*F187</x:f>
        <x:v>181.17000000000002</x:v>
      </x:c>
      <x:c r="I187" s="22" t="str">
        <x:f>HYPERLINK("https://etp-aktiv.ru/catalog/materialy/metizy/2000580774-U121/","Открыть позицию")</x:f>
        <x:v>Открыть позицию</x:v>
      </x:c>
    </x:row>
    <x:row r="188" ht="28" customHeight="1">
      <x:c r="A188" s="16" t="str">
        <x:v>Кемеровская теплосетевая компания</x:v>
      </x:c>
      <x:c r="B188" s="16" t="str">
        <x:v>2000555866-U121</x:v>
      </x:c>
      <x:c r="C188" s="16" t="str">
        <x:v>УГОЛОК СТ3 200*12 ГОСТ8509-93</x:v>
      </x:c>
      <x:c r="D188" s="16" t="str">
        <x:v>Металлопрокат черный</x:v>
      </x:c>
      <x:c r="E188" s="16" t="str">
        <x:v>Т</x:v>
      </x:c>
      <x:c r="F188" s="30" t="n">
        <x:v>0.015</x:v>
      </x:c>
      <x:c r="G188" s="17" t="n">
        <x:v>123982.5</x:v>
      </x:c>
      <x:c r="H188" s="17" t="n">
        <x:f>G188*F188</x:f>
        <x:v>1859.7375</x:v>
      </x:c>
      <x:c r="I188" s="22" t="str">
        <x:f>HYPERLINK("https://etp-aktiv.ru/catalog/materialy/metalloprodukciya/2000555866-U121/","Открыть позицию")</x:f>
        <x:v>Открыть позицию</x:v>
      </x:c>
    </x:row>
    <x:row r="189" ht="28" customHeight="1">
      <x:c r="A189" s="16" t="str">
        <x:v>Кемеровская теплосетевая компания</x:v>
      </x:c>
      <x:c r="B189" s="16" t="str">
        <x:v>2000148466-U121</x:v>
      </x:c>
      <x:c r="C189" s="16" t="str">
        <x:v>УГОЛОК СТ3 40*40*4 ГОСТ8509-93</x:v>
      </x:c>
      <x:c r="D189" s="16" t="str">
        <x:v>Металлопрокат черный</x:v>
      </x:c>
      <x:c r="E189" s="16" t="str">
        <x:v>Т</x:v>
      </x:c>
      <x:c r="F189" s="30" t="n">
        <x:v>0.005</x:v>
      </x:c>
      <x:c r="G189" s="17" t="n">
        <x:v>58433.729999999996</x:v>
      </x:c>
      <x:c r="H189" s="17" t="n">
        <x:f>G189*F189</x:f>
        <x:v>292.16865</x:v>
      </x:c>
      <x:c r="I189" s="22" t="str">
        <x:f>HYPERLINK("https://etp-aktiv.ru/catalog/materialy/metalloprodukciya/2000148466-U121/","Открыть позицию")</x:f>
        <x:v>Открыть позицию</x:v>
      </x:c>
    </x:row>
    <x:row r="190" ht="28" customHeight="1">
      <x:c r="A190" s="16" t="str">
        <x:v>Кемеровская теплосетевая компания</x:v>
      </x:c>
      <x:c r="B190" s="16" t="str">
        <x:v>2000182486-U121</x:v>
      </x:c>
      <x:c r="C190" s="16" t="str">
        <x:v>УГОЛОК СТ3 63*63*5 ГОСТ8509-93</x:v>
      </x:c>
      <x:c r="D190" s="16" t="str">
        <x:v>Металлопрокат черный</x:v>
      </x:c>
      <x:c r="E190" s="16" t="str">
        <x:v>Т</x:v>
      </x:c>
      <x:c r="F190" s="30" t="n">
        <x:v>0.085</x:v>
      </x:c>
      <x:c r="G190" s="17" t="n">
        <x:v>63305.9464</x:v>
      </x:c>
      <x:c r="H190" s="17" t="n">
        <x:f>G190*F190</x:f>
        <x:v>5381.005444</x:v>
      </x:c>
      <x:c r="I190" s="22" t="str">
        <x:f>HYPERLINK("https://etp-aktiv.ru/catalog/materialy/metalloprodukciya/2000182486-U121/","Открыть позицию")</x:f>
        <x:v>Открыть позицию</x:v>
      </x:c>
    </x:row>
    <x:row r="191" ht="28" customHeight="1">
      <x:c r="A191" s="16" t="str">
        <x:v>Кемеровская теплосетевая компания</x:v>
      </x:c>
      <x:c r="B191" s="16" t="str">
        <x:v>2000176781-U121</x:v>
      </x:c>
      <x:c r="C191" s="16" t="str">
        <x:v>УГОЛОК СТ3ПС5 35*35*4 ГОСТ8509-93</x:v>
      </x:c>
      <x:c r="D191" s="16" t="str">
        <x:v>Металлопрокат черный</x:v>
      </x:c>
      <x:c r="E191" s="16" t="str">
        <x:v>Т</x:v>
      </x:c>
      <x:c r="F191" s="30" t="n">
        <x:v>0.019</x:v>
      </x:c>
      <x:c r="G191" s="17" t="n">
        <x:v>48467.549999999996</x:v>
      </x:c>
      <x:c r="H191" s="17" t="n">
        <x:f>G191*F191</x:f>
        <x:v>920.8834499999999</x:v>
      </x:c>
      <x:c r="I191" s="22" t="str">
        <x:f>HYPERLINK("https://etp-aktiv.ru/catalog/materialy/metalloprodukciya/2000176781-U121/","Открыть позицию")</x:f>
        <x:v>Открыть позицию</x:v>
      </x:c>
    </x:row>
    <x:row r="192" ht="28" customHeight="1">
      <x:c r="A192" s="16" t="str">
        <x:v>Кемеровская теплосетевая компания</x:v>
      </x:c>
      <x:c r="B192" s="16" t="str">
        <x:v>2000068584-U121</x:v>
      </x:c>
      <x:c r="C192" s="16" t="str">
        <x:v>ШАЙБА М12 ГОСТ11371-78</x:v>
      </x:c>
      <x:c r="D192" s="16" t="str">
        <x:v>Метизы</x:v>
      </x:c>
      <x:c r="E192" s="16" t="str">
        <x:v>КГ</x:v>
      </x:c>
      <x:c r="F192" s="30" t="n">
        <x:v>0.1</x:v>
      </x:c>
      <x:c r="G192" s="17" t="n">
        <x:v>175.375</x:v>
      </x:c>
      <x:c r="H192" s="17" t="n">
        <x:f>G192*F192</x:f>
        <x:v>17.5375</x:v>
      </x:c>
      <x:c r="I192" s="22" t="str">
        <x:f>HYPERLINK("https://etp-aktiv.ru/catalog/materialy/metizy/2000068584-U121/","Открыть позицию")</x:f>
        <x:v>Открыть позицию</x:v>
      </x:c>
    </x:row>
    <x:row r="193" ht="28" customHeight="1">
      <x:c r="A193" s="16" t="str">
        <x:v>Кемеровская теплосетевая компания</x:v>
      </x:c>
      <x:c r="B193" s="16" t="str">
        <x:v>2000068585-U121</x:v>
      </x:c>
      <x:c r="C193" s="16" t="str">
        <x:v>ШАЙБА М14 ГОСТ11371-78</x:v>
      </x:c>
      <x:c r="D193" s="16" t="str">
        <x:v>Метизы</x:v>
      </x:c>
      <x:c r="E193" s="16" t="str">
        <x:v>КГ</x:v>
      </x:c>
      <x:c r="F193" s="30" t="n">
        <x:v>0.396</x:v>
      </x:c>
      <x:c r="G193" s="17" t="n">
        <x:v>126.88</x:v>
      </x:c>
      <x:c r="H193" s="17" t="n">
        <x:f>G193*F193</x:f>
        <x:v>50.24448</x:v>
      </x:c>
      <x:c r="I193" s="22" t="str">
        <x:f>HYPERLINK("https://etp-aktiv.ru/catalog/materialy/metizy/2000068585-U121/","Открыть позицию")</x:f>
        <x:v>Открыть позицию</x:v>
      </x:c>
    </x:row>
    <x:row r="194" ht="28" customHeight="1">
      <x:c r="A194" s="16" t="str">
        <x:v>Кемеровская теплосетевая компания</x:v>
      </x:c>
      <x:c r="B194" s="16" t="str">
        <x:v>2000555744-U121</x:v>
      </x:c>
      <x:c r="C194" s="16" t="str">
        <x:v>ШВЕЛЛЕР С245 8У ГОСТ8240-97</x:v>
      </x:c>
      <x:c r="D194" s="16" t="str">
        <x:v>Металлопрокат прочий</x:v>
      </x:c>
      <x:c r="E194" s="16" t="str">
        <x:v>Т</x:v>
      </x:c>
      <x:c r="F194" s="30" t="n">
        <x:v>0.021</x:v>
      </x:c>
      <x:c r="G194" s="17" t="n">
        <x:v>23846.4982</x:v>
      </x:c>
      <x:c r="H194" s="17" t="n">
        <x:f>G194*F194</x:f>
        <x:v>500.7764622000001</x:v>
      </x:c>
      <x:c r="I194" s="22" t="str">
        <x:f>HYPERLINK("https://etp-aktiv.ru/catalog/materialy/metalloprodukciya/2000555744-U121/","Открыть позицию")</x:f>
        <x:v>Открыть позицию</x:v>
      </x:c>
    </x:row>
    <x:row r="195" ht="28" customHeight="1">
      <x:c r="A195" s="16" t="str">
        <x:v>Кемеровская теплосетевая компания</x:v>
      </x:c>
      <x:c r="B195" s="16" t="str">
        <x:v>2000260525-U121</x:v>
      </x:c>
      <x:c r="C195" s="16" t="str">
        <x:v>ШВЕЛЛЕР С245 N20 ГОСТ8240-97</x:v>
      </x:c>
      <x:c r="D195" s="16" t="str">
        <x:v>Металлопрокат черный</x:v>
      </x:c>
      <x:c r="E195" s="16" t="str">
        <x:v>Т</x:v>
      </x:c>
      <x:c r="F195" s="30" t="n">
        <x:v>0.227</x:v>
      </x:c>
      <x:c r="G195" s="17" t="n">
        <x:v>85696.2526</x:v>
      </x:c>
      <x:c r="H195" s="17" t="n">
        <x:f>G195*F195</x:f>
        <x:v>19453.049340200003</x:v>
      </x:c>
      <x:c r="I195" s="22" t="str">
        <x:f>HYPERLINK("https://etp-aktiv.ru/catalog/materialy/metalloprodukciya/2000260525-U121/","Открыть позицию")</x:f>
        <x:v>Открыть позицию</x:v>
      </x:c>
    </x:row>
    <x:row r="196" ht="28" customHeight="1">
      <x:c r="A196" s="16" t="str">
        <x:v>Кемеровская теплосетевая компания</x:v>
      </x:c>
      <x:c r="B196" s="16" t="str">
        <x:v>2000015505-U121</x:v>
      </x:c>
      <x:c r="C196" s="16" t="str">
        <x:v>ШВЕЛЛЕР СТ3 14 ГОСТ8240-97</x:v>
      </x:c>
      <x:c r="D196" s="16" t="str">
        <x:v>Металлопрокат черный</x:v>
      </x:c>
      <x:c r="E196" s="16" t="str">
        <x:v>Т</x:v>
      </x:c>
      <x:c r="F196" s="30" t="n">
        <x:v>0.048</x:v>
      </x:c>
      <x:c r="G196" s="17" t="n">
        <x:v>69187.2736</x:v>
      </x:c>
      <x:c r="H196" s="17" t="n">
        <x:f>G196*F196</x:f>
        <x:v>3320.9891328</x:v>
      </x:c>
      <x:c r="I196" s="22" t="str">
        <x:f>HYPERLINK("https://etp-aktiv.ru/catalog/materialy/metalloprodukciya/2000015505-U121/","Открыть позицию")</x:f>
        <x:v>Открыть позицию</x:v>
      </x:c>
    </x:row>
    <x:row r="197" ht="28" customHeight="1">
      <x:c r="A197" s="16" t="str">
        <x:v>Кемеровская теплосетевая компания</x:v>
      </x:c>
      <x:c r="B197" s="16" t="str">
        <x:v>2000015700-U121</x:v>
      </x:c>
      <x:c r="C197" s="16" t="str">
        <x:v>ШВЕЛЛЕР СТ3 20 ГОСТ8240-97</x:v>
      </x:c>
      <x:c r="D197" s="16" t="str">
        <x:v>Металлопрокат черный</x:v>
      </x:c>
      <x:c r="E197" s="16" t="str">
        <x:v>Т</x:v>
      </x:c>
      <x:c r="F197" s="30" t="n">
        <x:v>0.006</x:v>
      </x:c>
      <x:c r="G197" s="17" t="n">
        <x:v>93226.65379999999</x:v>
      </x:c>
      <x:c r="H197" s="17" t="n">
        <x:f>G197*F197</x:f>
        <x:v>559.3599227999999</x:v>
      </x:c>
      <x:c r="I197" s="22" t="str">
        <x:f>HYPERLINK("https://etp-aktiv.ru/catalog/materialy/metalloprodukciya/2000015700-U121/","Открыть позицию")</x:f>
        <x:v>Открыть позицию</x:v>
      </x:c>
    </x:row>
    <x:row r="198" ht="28" customHeight="1">
      <x:c r="A198" s="16" t="str">
        <x:v>Кемеровская теплосетевая компания</x:v>
      </x:c>
      <x:c r="B198" s="16" t="str">
        <x:v>2000153549-U121</x:v>
      </x:c>
      <x:c r="C198" s="16" t="str">
        <x:v>ШВЕЛЛЕР СТ3 20У ГОСТ8240-97</x:v>
      </x:c>
      <x:c r="D198" s="16" t="str">
        <x:v>Металлопрокат черный</x:v>
      </x:c>
      <x:c r="E198" s="16" t="str">
        <x:v>Т</x:v>
      </x:c>
      <x:c r="F198" s="30" t="n">
        <x:v>0.02</x:v>
      </x:c>
      <x:c r="G198" s="17" t="n">
        <x:v>90631.36</x:v>
      </x:c>
      <x:c r="H198" s="17" t="n">
        <x:f>G198*F198</x:f>
        <x:v>1812.6272000000001</x:v>
      </x:c>
      <x:c r="I198" s="22" t="str">
        <x:f>HYPERLINK("https://etp-aktiv.ru/catalog/materialy/metalloprodukciya/2000153549-U121/","Открыть позицию")</x:f>
        <x:v>Открыть позицию</x:v>
      </x:c>
    </x:row>
    <x:row r="199" ht="28" customHeight="1">
      <x:c r="A199" s="16" t="str">
        <x:v>Кемеровская теплосетевая компания</x:v>
      </x:c>
      <x:c r="B199" s="16" t="str">
        <x:v>2000555735-U121</x:v>
      </x:c>
      <x:c r="C199" s="16" t="str">
        <x:v>ШВЕЛЛЕР СТ3 22У ГОСТ8240-97</x:v>
      </x:c>
      <x:c r="D199" s="16" t="str">
        <x:v>Металлопрокат черный</x:v>
      </x:c>
      <x:c r="E199" s="16" t="str">
        <x:v>Т</x:v>
      </x:c>
      <x:c r="F199" s="30" t="n">
        <x:v>0.008</x:v>
      </x:c>
      <x:c r="G199" s="17" t="n">
        <x:v>87058.8218</x:v>
      </x:c>
      <x:c r="H199" s="17" t="n">
        <x:f>G199*F199</x:f>
        <x:v>696.4705744</x:v>
      </x:c>
      <x:c r="I199" s="22" t="str">
        <x:f>HYPERLINK("https://etp-aktiv.ru/catalog/materialy/metalloprodukciya/2000555735-U121/","Открыть позицию")</x:f>
        <x:v>Открыть позицию</x:v>
      </x:c>
    </x:row>
    <x:row r="200" ht="28" customHeight="1">
      <x:c r="A200" s="16" t="str">
        <x:v>Кемеровская теплосетевая компания</x:v>
      </x:c>
      <x:c r="B200" s="16" t="str">
        <x:v>2000141683-U121</x:v>
      </x:c>
      <x:c r="C200" s="16" t="str">
        <x:v>ШВЕЛЛЕР СТ3 27У ГОСТ8240-89</x:v>
      </x:c>
      <x:c r="D200" s="16" t="str">
        <x:v>Металлопрокат черный</x:v>
      </x:c>
      <x:c r="E200" s="16" t="str">
        <x:v>Т</x:v>
      </x:c>
      <x:c r="F200" s="30" t="n">
        <x:v>0.215</x:v>
      </x:c>
      <x:c r="G200" s="17" t="n">
        <x:v>86877.6274</x:v>
      </x:c>
      <x:c r="H200" s="17" t="n">
        <x:f>G200*F200</x:f>
        <x:v>18678.689890999998</x:v>
      </x:c>
      <x:c r="I200" s="22" t="str">
        <x:f>HYPERLINK("https://etp-aktiv.ru/catalog/materialy/metalloprodukciya/2000141683-U121/","Открыть позицию")</x:f>
        <x:v>Открыть позицию</x:v>
      </x:c>
    </x:row>
    <x:row r="201" ht="28" customHeight="1">
      <x:c r="A201" s="16" t="str">
        <x:v>Кемеровская теплосетевая компания</x:v>
      </x:c>
      <x:c r="B201" s="16" t="str">
        <x:v>2000015659-U121</x:v>
      </x:c>
      <x:c r="C201" s="16" t="str">
        <x:v>ЭЛЕКТРОД МР-3 3ММ ГОСТ9466-75</x:v>
      </x:c>
      <x:c r="D201" s="16" t="str">
        <x:v>Сварочные электроды</x:v>
      </x:c>
      <x:c r="E201" s="16" t="str">
        <x:v>Т</x:v>
      </x:c>
      <x:c r="F201" s="30" t="n">
        <x:v>0.023</x:v>
      </x:c>
      <x:c r="G201" s="17" t="n">
        <x:v>23500.628200000003</x:v>
      </x:c>
      <x:c r="H201" s="17" t="n">
        <x:f>G201*F201</x:f>
        <x:v>540.5144486</x:v>
      </x:c>
      <x:c r="I201" s="22" t="str">
        <x:f>HYPERLINK("https://etp-aktiv.ru/catalog/materialy/svarochnye-ehlektrody/2000015659-U121/","Открыть позицию")</x:f>
        <x:v>Открыть позицию</x:v>
      </x:c>
    </x:row>
    <x:row r="202" ht="28" customHeight="1">
      <x:c r="A202" s="16" t="str">
        <x:v>Кемеровская теплосетевая компания</x:v>
      </x:c>
      <x:c r="B202" s="16" t="str">
        <x:v>2000440326-U121</x:v>
      </x:c>
      <x:c r="C202" s="16" t="str">
        <x:v>ЭЛЕКТРОД Э46 4ММ ГОСТ9467-75</x:v>
      </x:c>
      <x:c r="D202" s="16" t="str">
        <x:v>Сварочные электроды</x:v>
      </x:c>
      <x:c r="E202" s="16" t="str">
        <x:v>Т</x:v>
      </x:c>
      <x:c r="F202" s="30" t="n">
        <x:v>0.013</x:v>
      </x:c>
      <x:c r="G202" s="17" t="n">
        <x:v>160564.19999999998</x:v>
      </x:c>
      <x:c r="H202" s="17" t="n">
        <x:f>G202*F202</x:f>
        <x:v>2087.3345999999997</x:v>
      </x:c>
      <x:c r="I202" s="22" t="str">
        <x:f>HYPERLINK("https://etp-aktiv.ru/catalog/materialy/svarochnye-ehlektrody/2000440326-U121/","Открыть позицию")</x:f>
        <x:v>Открыть позицию</x:v>
      </x:c>
    </x:row>
    <x:row r="203" ht="28" customHeight="1">
      <x:c r="A203" s="16" t="str">
        <x:v>Ново-Кемеровская ТЭЦ</x:v>
      </x:c>
      <x:c r="B203" s="16" t="str">
        <x:v>2000068396-U411</x:v>
      </x:c>
      <x:c r="C203" s="16" t="str">
        <x:v>БОЛТ М10*100 ГОСТ7805-70</x:v>
      </x:c>
      <x:c r="D203" s="16" t="str">
        <x:v>Метизы</x:v>
      </x:c>
      <x:c r="E203" s="16" t="str">
        <x:v>КГ</x:v>
      </x:c>
      <x:c r="F203" s="21" t="n">
        <x:v>10</x:v>
      </x:c>
      <x:c r="G203" s="17" t="n">
        <x:v>66.5388</x:v>
      </x:c>
      <x:c r="H203" s="17" t="n">
        <x:f>G203*F203</x:f>
        <x:v>665.3879999999999</x:v>
      </x:c>
      <x:c r="I203" s="22" t="str">
        <x:f>HYPERLINK("https://etp-aktiv.ru/catalog/materialy/metizy/2000068396-U411/","Открыть позицию")</x:f>
        <x:v>Открыть позицию</x:v>
      </x:c>
    </x:row>
    <x:row r="204" ht="28" customHeight="1">
      <x:c r="A204" s="16" t="str">
        <x:v>Ново-Кемеровская ТЭЦ</x:v>
      </x:c>
      <x:c r="B204" s="16" t="str">
        <x:v>2000068358-U411</x:v>
      </x:c>
      <x:c r="C204" s="16" t="str">
        <x:v>БОЛТ М10*20 ГОСТ7798-70</x:v>
      </x:c>
      <x:c r="D204" s="16" t="str">
        <x:v>Метизы</x:v>
      </x:c>
      <x:c r="E204" s="16" t="str">
        <x:v>КГ</x:v>
      </x:c>
      <x:c r="F204" s="30" t="n">
        <x:v>0.5</x:v>
      </x:c>
      <x:c r="G204" s="17" t="n">
        <x:v>93.33</x:v>
      </x:c>
      <x:c r="H204" s="17" t="n">
        <x:f>G204*F204</x:f>
        <x:v>46.665</x:v>
      </x:c>
      <x:c r="I204" s="22" t="str">
        <x:f>HYPERLINK("https://etp-aktiv.ru/catalog/materialy/metizy/2000068358-U411/","Открыть позицию")</x:f>
        <x:v>Открыть позицию</x:v>
      </x:c>
    </x:row>
    <x:row r="205" ht="28" customHeight="1">
      <x:c r="A205" s="16" t="str">
        <x:v>Ново-Кемеровская ТЭЦ</x:v>
      </x:c>
      <x:c r="B205" s="16" t="str">
        <x:v>2000068294-U411</x:v>
      </x:c>
      <x:c r="C205" s="16" t="str">
        <x:v>БОЛТ М14*70 ГОСТ7805-70</x:v>
      </x:c>
      <x:c r="D205" s="16" t="str">
        <x:v>Метизы специализированные и под заказ</x:v>
      </x:c>
      <x:c r="E205" s="16" t="str">
        <x:v>КГ</x:v>
      </x:c>
      <x:c r="F205" s="21" t="n">
        <x:v>10</x:v>
      </x:c>
      <x:c r="G205" s="17" t="n">
        <x:v>110.715</x:v>
      </x:c>
      <x:c r="H205" s="17" t="n">
        <x:f>G205*F205</x:f>
        <x:v>1107.15</x:v>
      </x:c>
      <x:c r="I205" s="22" t="str">
        <x:f>HYPERLINK("https://etp-aktiv.ru/catalog/materialy/metizy/2000068294-U411/","Открыть позицию")</x:f>
        <x:v>Открыть позицию</x:v>
      </x:c>
    </x:row>
    <x:row r="206" ht="28" customHeight="1">
      <x:c r="A206" s="16" t="str">
        <x:v>Ново-Кемеровская ТЭЦ</x:v>
      </x:c>
      <x:c r="B206" s="16" t="str">
        <x:v>2000068303-U411</x:v>
      </x:c>
      <x:c r="C206" s="16" t="str">
        <x:v>БОЛТ М16*100 ГОСТ7798-70</x:v>
      </x:c>
      <x:c r="D206" s="16" t="str">
        <x:v>Метизы</x:v>
      </x:c>
      <x:c r="E206" s="16" t="str">
        <x:v>КГ</x:v>
      </x:c>
      <x:c r="F206" s="29" t="n">
        <x:v>1.3</x:v>
      </x:c>
      <x:c r="G206" s="17" t="n">
        <x:v>95.9652</x:v>
      </x:c>
      <x:c r="H206" s="17" t="n">
        <x:f>G206*F206</x:f>
        <x:v>124.75476</x:v>
      </x:c>
      <x:c r="I206" s="22" t="str">
        <x:f>HYPERLINK("https://etp-aktiv.ru/catalog/materialy/metizy/2000068303-U411/","Открыть позицию")</x:f>
        <x:v>Открыть позицию</x:v>
      </x:c>
    </x:row>
    <x:row r="207" ht="28" customHeight="1">
      <x:c r="A207" s="16" t="str">
        <x:v>Ново-Кемеровская ТЭЦ</x:v>
      </x:c>
      <x:c r="B207" s="16" t="str">
        <x:v>2000165821-U411</x:v>
      </x:c>
      <x:c r="C207" s="16" t="str">
        <x:v>БОЛТ М16*180 ГОСТ7798-70</x:v>
      </x:c>
      <x:c r="D207" s="16" t="str">
        <x:v>Метизы</x:v>
      </x:c>
      <x:c r="E207" s="16" t="str">
        <x:v>КГ</x:v>
      </x:c>
      <x:c r="F207" s="29" t="n">
        <x:v>2.5</x:v>
      </x:c>
      <x:c r="G207" s="17" t="n">
        <x:v>146.7782</x:v>
      </x:c>
      <x:c r="H207" s="17" t="n">
        <x:f>G207*F207</x:f>
        <x:v>366.9455</x:v>
      </x:c>
      <x:c r="I207" s="22" t="str">
        <x:f>HYPERLINK("https://etp-aktiv.ru/catalog/materialy/metizy/2000165821-U411/","Открыть позицию")</x:f>
        <x:v>Открыть позицию</x:v>
      </x:c>
    </x:row>
    <x:row r="208" ht="28" customHeight="1">
      <x:c r="A208" s="16" t="str">
        <x:v>Ново-Кемеровская ТЭЦ</x:v>
      </x:c>
      <x:c r="B208" s="16" t="str">
        <x:v>2000142909-U411</x:v>
      </x:c>
      <x:c r="C208" s="16" t="str">
        <x:v>БОЛТ М16*45 ГОСТ7798-70</x:v>
      </x:c>
      <x:c r="D208" s="16" t="str">
        <x:v>Метизы</x:v>
      </x:c>
      <x:c r="E208" s="16" t="str">
        <x:v>КГ</x:v>
      </x:c>
      <x:c r="F208" s="29" t="n">
        <x:v>1.5</x:v>
      </x:c>
      <x:c r="G208" s="17" t="n">
        <x:v>116.76619999999998</x:v>
      </x:c>
      <x:c r="H208" s="17" t="n">
        <x:f>G208*F208</x:f>
        <x:v>175.14929999999998</x:v>
      </x:c>
      <x:c r="I208" s="22" t="str">
        <x:f>HYPERLINK("https://etp-aktiv.ru/catalog/materialy/metizy/2000142909-U411/","Открыть позицию")</x:f>
        <x:v>Открыть позицию</x:v>
      </x:c>
    </x:row>
    <x:row r="209" ht="28" customHeight="1">
      <x:c r="A209" s="16" t="str">
        <x:v>Ново-Кемеровская ТЭЦ</x:v>
      </x:c>
      <x:c r="B209" s="16" t="str">
        <x:v>2000142910-U411</x:v>
      </x:c>
      <x:c r="C209" s="16" t="str">
        <x:v>БОЛТ М18*100 ГОСТ7798-70</x:v>
      </x:c>
      <x:c r="D209" s="16" t="str">
        <x:v>Метизы</x:v>
      </x:c>
      <x:c r="E209" s="16" t="str">
        <x:v>КГ</x:v>
      </x:c>
      <x:c r="F209" s="29" t="n">
        <x:v>37.96</x:v>
      </x:c>
      <x:c r="G209" s="17" t="n">
        <x:v>61.2562</x:v>
      </x:c>
      <x:c r="H209" s="17" t="n">
        <x:f>G209*F209</x:f>
        <x:v>2325.285352</x:v>
      </x:c>
      <x:c r="I209" s="22" t="str">
        <x:f>HYPERLINK("https://etp-aktiv.ru/catalog/materialy/metizy/2000142910-U411/","Открыть позицию")</x:f>
        <x:v>Открыть позицию</x:v>
      </x:c>
    </x:row>
    <x:row r="210" ht="28" customHeight="1">
      <x:c r="A210" s="16" t="str">
        <x:v>Ново-Кемеровская ТЭЦ</x:v>
      </x:c>
      <x:c r="B210" s="16" t="str">
        <x:v>2000068430-U411</x:v>
      </x:c>
      <x:c r="C210" s="16" t="str">
        <x:v>БОЛТ М18*100 ГОСТ7805-70</x:v>
      </x:c>
      <x:c r="D210" s="16" t="str">
        <x:v>Метизы</x:v>
      </x:c>
      <x:c r="E210" s="16" t="str">
        <x:v>КГ</x:v>
      </x:c>
      <x:c r="F210" s="21" t="n">
        <x:v>15</x:v>
      </x:c>
      <x:c r="G210" s="17" t="n">
        <x:v>79.26339999999999</x:v>
      </x:c>
      <x:c r="H210" s="17" t="n">
        <x:f>G210*F210</x:f>
        <x:v>1188.9509999999998</x:v>
      </x:c>
      <x:c r="I210" s="22" t="str">
        <x:f>HYPERLINK("https://etp-aktiv.ru/catalog/materialy/metizy/2000068430-U411/","Открыть позицию")</x:f>
        <x:v>Открыть позицию</x:v>
      </x:c>
    </x:row>
    <x:row r="211" ht="28" customHeight="1">
      <x:c r="A211" s="16" t="str">
        <x:v>Ново-Кемеровская ТЭЦ</x:v>
      </x:c>
      <x:c r="B211" s="16" t="str">
        <x:v>2000258051-U411</x:v>
      </x:c>
      <x:c r="C211" s="16" t="str">
        <x:v>БОЛТ М18*110 ГОСТ7805-70</x:v>
      </x:c>
      <x:c r="D211" s="16" t="str">
        <x:v>Метизы</x:v>
      </x:c>
      <x:c r="E211" s="16" t="str">
        <x:v>КГ</x:v>
      </x:c>
      <x:c r="F211" s="21" t="n">
        <x:v>20</x:v>
      </x:c>
      <x:c r="G211" s="17" t="n">
        <x:v>67.0268</x:v>
      </x:c>
      <x:c r="H211" s="17" t="n">
        <x:f>G211*F211</x:f>
        <x:v>1340.5359999999998</x:v>
      </x:c>
      <x:c r="I211" s="22" t="str">
        <x:f>HYPERLINK("https://etp-aktiv.ru/catalog/materialy/metizy/2000258051-U411/","Открыть позицию")</x:f>
        <x:v>Открыть позицию</x:v>
      </x:c>
    </x:row>
    <x:row r="212" ht="28" customHeight="1">
      <x:c r="A212" s="16" t="str">
        <x:v>Ново-Кемеровская ТЭЦ</x:v>
      </x:c>
      <x:c r="B212" s="16" t="str">
        <x:v>2000167184-U411</x:v>
      </x:c>
      <x:c r="C212" s="16" t="str">
        <x:v>БОЛТ М20*160 ГОСТ7805-70</x:v>
      </x:c>
      <x:c r="D212" s="16" t="str">
        <x:v>Метизы</x:v>
      </x:c>
      <x:c r="E212" s="16" t="str">
        <x:v>КГ</x:v>
      </x:c>
      <x:c r="F212" s="21" t="n">
        <x:v>8</x:v>
      </x:c>
      <x:c r="G212" s="17" t="n">
        <x:v>34.0258</x:v>
      </x:c>
      <x:c r="H212" s="17" t="n">
        <x:f>G212*F212</x:f>
        <x:v>272.2064</x:v>
      </x:c>
      <x:c r="I212" s="22" t="str">
        <x:f>HYPERLINK("https://etp-aktiv.ru/catalog/materialy/metizy/2000167184-U411/","Открыть позицию")</x:f>
        <x:v>Открыть позицию</x:v>
      </x:c>
    </x:row>
    <x:row r="213" ht="28" customHeight="1">
      <x:c r="A213" s="16" t="str">
        <x:v>Ново-Кемеровская ТЭЦ</x:v>
      </x:c>
      <x:c r="B213" s="16" t="str">
        <x:v>2000068441-U411</x:v>
      </x:c>
      <x:c r="C213" s="16" t="str">
        <x:v>БОЛТ М24*110 ГОСТ7805-70</x:v>
      </x:c>
      <x:c r="D213" s="16" t="str">
        <x:v>Метизы</x:v>
      </x:c>
      <x:c r="E213" s="16" t="str">
        <x:v>КГ</x:v>
      </x:c>
      <x:c r="F213" s="21" t="n">
        <x:v>6</x:v>
      </x:c>
      <x:c r="G213" s="17" t="n">
        <x:v>80.9836</x:v>
      </x:c>
      <x:c r="H213" s="17" t="n">
        <x:f>G213*F213</x:f>
        <x:v>485.9016</x:v>
      </x:c>
      <x:c r="I213" s="22" t="str">
        <x:f>HYPERLINK("https://etp-aktiv.ru/catalog/materialy/metizy/2000068441-U411/","Открыть позицию")</x:f>
        <x:v>Открыть позицию</x:v>
      </x:c>
    </x:row>
    <x:row r="214" ht="28" customHeight="1">
      <x:c r="A214" s="16" t="str">
        <x:v>Ново-Кемеровская ТЭЦ</x:v>
      </x:c>
      <x:c r="B214" s="16" t="str">
        <x:v>2000243015-U411</x:v>
      </x:c>
      <x:c r="C214" s="16" t="str">
        <x:v>БОЛТ М24*190 ГОСТ7798-70</x:v>
      </x:c>
      <x:c r="D214" s="16" t="str">
        <x:v>Метизы</x:v>
      </x:c>
      <x:c r="E214" s="16" t="str">
        <x:v>КГ</x:v>
      </x:c>
      <x:c r="F214" s="21" t="n">
        <x:v>12</x:v>
      </x:c>
      <x:c r="G214" s="17" t="n">
        <x:v>64.33059999999999</x:v>
      </x:c>
      <x:c r="H214" s="17" t="n">
        <x:f>G214*F214</x:f>
        <x:v>771.9671999999998</x:v>
      </x:c>
      <x:c r="I214" s="22" t="str">
        <x:f>HYPERLINK("https://etp-aktiv.ru/catalog/materialy/metizy/2000243015-U411/","Открыть позицию")</x:f>
        <x:v>Открыть позицию</x:v>
      </x:c>
    </x:row>
    <x:row r="215" ht="28" customHeight="1">
      <x:c r="A215" s="16" t="str">
        <x:v>Ново-Кемеровская ТЭЦ</x:v>
      </x:c>
      <x:c r="B215" s="16" t="str">
        <x:v>2000068329-U411</x:v>
      </x:c>
      <x:c r="C215" s="16" t="str">
        <x:v>БОЛТ М24*90 ГОСТ7798-70</x:v>
      </x:c>
      <x:c r="D215" s="16" t="str">
        <x:v>Метизы</x:v>
      </x:c>
      <x:c r="E215" s="16" t="str">
        <x:v>КГ</x:v>
      </x:c>
      <x:c r="F215" s="30" t="n">
        <x:v>0.66</x:v>
      </x:c>
      <x:c r="G215" s="17" t="n">
        <x:v>52.386799999999994</x:v>
      </x:c>
      <x:c r="H215" s="17" t="n">
        <x:f>G215*F215</x:f>
        <x:v>34.575288</x:v>
      </x:c>
      <x:c r="I215" s="22" t="str">
        <x:f>HYPERLINK("https://etp-aktiv.ru/catalog/materialy/metizy/2000068329-U411/","Открыть позицию")</x:f>
        <x:v>Открыть позицию</x:v>
      </x:c>
    </x:row>
    <x:row r="216" ht="28" customHeight="1">
      <x:c r="A216" s="16" t="str">
        <x:v>Ново-Кемеровская ТЭЦ</x:v>
      </x:c>
      <x:c r="B216" s="16" t="str">
        <x:v>2000068262-U411</x:v>
      </x:c>
      <x:c r="C216" s="16" t="str">
        <x:v>БОЛТ М27*140 ГОСТ7805-70</x:v>
      </x:c>
      <x:c r="D216" s="16" t="str">
        <x:v>Метизы</x:v>
      </x:c>
      <x:c r="E216" s="16" t="str">
        <x:v>КГ</x:v>
      </x:c>
      <x:c r="F216" s="21" t="n">
        <x:v>5</x:v>
      </x:c>
      <x:c r="G216" s="17" t="n">
        <x:v>136.53019999999998</x:v>
      </x:c>
      <x:c r="H216" s="17" t="n">
        <x:f>G216*F216</x:f>
        <x:v>682.6509999999998</x:v>
      </x:c>
      <x:c r="I216" s="22" t="str">
        <x:f>HYPERLINK("https://etp-aktiv.ru/catalog/materialy/metizy/2000068262-U411/","Открыть позицию")</x:f>
        <x:v>Открыть позицию</x:v>
      </x:c>
    </x:row>
    <x:row r="217" ht="28" customHeight="1">
      <x:c r="A217" s="16" t="str">
        <x:v>Ново-Кемеровская ТЭЦ</x:v>
      </x:c>
      <x:c r="B217" s="16" t="str">
        <x:v>2000142922-U411</x:v>
      </x:c>
      <x:c r="C217" s="16" t="str">
        <x:v>БОЛТ М30*120 ГОСТ7798-70</x:v>
      </x:c>
      <x:c r="D217" s="16" t="str">
        <x:v>Метизы</x:v>
      </x:c>
      <x:c r="E217" s="16" t="str">
        <x:v>КГ</x:v>
      </x:c>
      <x:c r="F217" s="21" t="n">
        <x:v>7</x:v>
      </x:c>
      <x:c r="G217" s="17" t="n">
        <x:v>102.39460000000001</x:v>
      </x:c>
      <x:c r="H217" s="17" t="n">
        <x:f>G217*F217</x:f>
        <x:v>716.7622000000001</x:v>
      </x:c>
      <x:c r="I217" s="22" t="str">
        <x:f>HYPERLINK("https://etp-aktiv.ru/catalog/materialy/metizy/2000142922-U411/","Открыть позицию")</x:f>
        <x:v>Открыть позицию</x:v>
      </x:c>
    </x:row>
    <x:row r="218" ht="28" customHeight="1">
      <x:c r="A218" s="16" t="str">
        <x:v>Ново-Кемеровская ТЭЦ</x:v>
      </x:c>
      <x:c r="B218" s="16" t="str">
        <x:v>2000068321-U411</x:v>
      </x:c>
      <x:c r="C218" s="16" t="str">
        <x:v>БОЛТ М30*130 ГОСТ7805-70</x:v>
      </x:c>
      <x:c r="D218" s="16" t="str">
        <x:v>Метизы</x:v>
      </x:c>
      <x:c r="E218" s="16" t="str">
        <x:v>КГ</x:v>
      </x:c>
      <x:c r="F218" s="21" t="n">
        <x:v>210</x:v>
      </x:c>
      <x:c r="G218" s="17" t="n">
        <x:v>102.7118</x:v>
      </x:c>
      <x:c r="H218" s="17" t="n">
        <x:f>G218*F218</x:f>
        <x:v>21569.478</x:v>
      </x:c>
      <x:c r="I218" s="22" t="str">
        <x:f>HYPERLINK("https://etp-aktiv.ru/catalog/materialy/metizy/2000068321-U411/","Открыть позицию")</x:f>
        <x:v>Открыть позицию</x:v>
      </x:c>
    </x:row>
    <x:row r="219" ht="28" customHeight="1">
      <x:c r="A219" s="16" t="str">
        <x:v>Ново-Кемеровская ТЭЦ</x:v>
      </x:c>
      <x:c r="B219" s="16" t="str">
        <x:v>2000158334-U411</x:v>
      </x:c>
      <x:c r="C219" s="16" t="str">
        <x:v>БОЛТ М30*160 ГОСТ7805-70</x:v>
      </x:c>
      <x:c r="D219" s="16" t="str">
        <x:v>Метизы</x:v>
      </x:c>
      <x:c r="E219" s="16" t="str">
        <x:v>КГ</x:v>
      </x:c>
      <x:c r="F219" s="21" t="n">
        <x:v>10</x:v>
      </x:c>
      <x:c r="G219" s="17" t="n">
        <x:v>133.956</x:v>
      </x:c>
      <x:c r="H219" s="17" t="n">
        <x:f>G219*F219</x:f>
        <x:v>1339.56</x:v>
      </x:c>
      <x:c r="I219" s="22" t="str">
        <x:f>HYPERLINK("https://etp-aktiv.ru/catalog/materialy/metizy/2000158334-U411/","Открыть позицию")</x:f>
        <x:v>Открыть позицию</x:v>
      </x:c>
    </x:row>
    <x:row r="220" ht="28" customHeight="1">
      <x:c r="A220" s="16" t="str">
        <x:v>Ново-Кемеровская ТЭЦ</x:v>
      </x:c>
      <x:c r="B220" s="16" t="str">
        <x:v>2000068252-U411</x:v>
      </x:c>
      <x:c r="C220" s="16" t="str">
        <x:v>БОЛТ М36*180 ГОСТ7805-70</x:v>
      </x:c>
      <x:c r="D220" s="16" t="str">
        <x:v>Метизы</x:v>
      </x:c>
      <x:c r="E220" s="16" t="str">
        <x:v>КГ</x:v>
      </x:c>
      <x:c r="F220" s="21" t="n">
        <x:v>1</x:v>
      </x:c>
      <x:c r="G220" s="17" t="n">
        <x:v>272.0478</x:v>
      </x:c>
      <x:c r="H220" s="17" t="n">
        <x:f>G220*F220</x:f>
        <x:v>272.0478</x:v>
      </x:c>
      <x:c r="I220" s="22" t="str">
        <x:f>HYPERLINK("https://etp-aktiv.ru/catalog/materialy/metizy/2000068252-U411/","Открыть позицию")</x:f>
        <x:v>Открыть позицию</x:v>
      </x:c>
    </x:row>
    <x:row r="221" ht="28" customHeight="1">
      <x:c r="A221" s="16" t="str">
        <x:v>Ново-Кемеровская ТЭЦ</x:v>
      </x:c>
      <x:c r="B221" s="16" t="str">
        <x:v>2000068248-U411</x:v>
      </x:c>
      <x:c r="C221" s="16" t="str">
        <x:v>БОЛТ М42*240 ГОСТ7798-70</x:v>
      </x:c>
      <x:c r="D221" s="16" t="str">
        <x:v>Метизы</x:v>
      </x:c>
      <x:c r="E221" s="16" t="str">
        <x:v>КГ</x:v>
      </x:c>
      <x:c r="F221" s="21" t="n">
        <x:v>77</x:v>
      </x:c>
      <x:c r="G221" s="17" t="n">
        <x:v>118.43759999999999</x:v>
      </x:c>
      <x:c r="H221" s="17" t="n">
        <x:f>G221*F221</x:f>
        <x:v>9119.695199999998</x:v>
      </x:c>
      <x:c r="I221" s="22" t="str">
        <x:f>HYPERLINK("https://etp-aktiv.ru/catalog/materialy/metizy/2000068248-U411/","Открыть позицию")</x:f>
        <x:v>Открыть позицию</x:v>
      </x:c>
    </x:row>
    <x:row r="222" ht="28" customHeight="1">
      <x:c r="A222" s="16" t="str">
        <x:v>Ново-Кемеровская ТЭЦ</x:v>
      </x:c>
      <x:c r="B222" s="16" t="str">
        <x:v>2000068363-U411</x:v>
      </x:c>
      <x:c r="C222" s="16" t="str">
        <x:v>БОЛТ М6*20 ГОСТ7798-70</x:v>
      </x:c>
      <x:c r="D222" s="16" t="str">
        <x:v>Метизы</x:v>
      </x:c>
      <x:c r="E222" s="16" t="str">
        <x:v>КГ</x:v>
      </x:c>
      <x:c r="F222" s="29" t="n">
        <x:v>2.3</x:v>
      </x:c>
      <x:c r="G222" s="17" t="n">
        <x:v>42.4682</x:v>
      </x:c>
      <x:c r="H222" s="17" t="n">
        <x:f>G222*F222</x:f>
        <x:v>97.67686</x:v>
      </x:c>
      <x:c r="I222" s="22" t="str">
        <x:f>HYPERLINK("https://etp-aktiv.ru/catalog/materialy/metizy/2000068363-U411/","Открыть позицию")</x:f>
        <x:v>Открыть позицию</x:v>
      </x:c>
    </x:row>
    <x:row r="223" ht="28" customHeight="1">
      <x:c r="A223" s="16" t="str">
        <x:v>Ново-Кемеровская ТЭЦ</x:v>
      </x:c>
      <x:c r="B223" s="16" t="str">
        <x:v>2000068366-U411</x:v>
      </x:c>
      <x:c r="C223" s="16" t="str">
        <x:v>БОЛТ М6*50 ГОСТ7798-70</x:v>
      </x:c>
      <x:c r="D223" s="16" t="str">
        <x:v>Метизы</x:v>
      </x:c>
      <x:c r="E223" s="16" t="str">
        <x:v>КГ</x:v>
      </x:c>
      <x:c r="F223" s="30" t="n">
        <x:v>0.85</x:v>
      </x:c>
      <x:c r="G223" s="17" t="n">
        <x:v>53.13099999999999</x:v>
      </x:c>
      <x:c r="H223" s="17" t="n">
        <x:f>G223*F223</x:f>
        <x:v>45.16134999999999</x:v>
      </x:c>
      <x:c r="I223" s="22" t="str">
        <x:f>HYPERLINK("https://etp-aktiv.ru/catalog/materialy/metizy/2000068366-U411/","Открыть позицию")</x:f>
        <x:v>Открыть позицию</x:v>
      </x:c>
    </x:row>
    <x:row r="224" ht="28" customHeight="1">
      <x:c r="A224" s="16" t="str">
        <x:v>Ново-Кемеровская ТЭЦ</x:v>
      </x:c>
      <x:c r="B224" s="16" t="str">
        <x:v>2000126802-U411</x:v>
      </x:c>
      <x:c r="C224" s="16" t="str">
        <x:v>БОЛТ М8*45 ГОСТ7805-70</x:v>
      </x:c>
      <x:c r="D224" s="16" t="str">
        <x:v>Метизы</x:v>
      </x:c>
      <x:c r="E224" s="16" t="str">
        <x:v>КГ</x:v>
      </x:c>
      <x:c r="F224" s="21" t="n">
        <x:v>2</x:v>
      </x:c>
      <x:c r="G224" s="17" t="n">
        <x:v>50.6178</x:v>
      </x:c>
      <x:c r="H224" s="17" t="n">
        <x:f>G224*F224</x:f>
        <x:v>101.2356</x:v>
      </x:c>
      <x:c r="I224" s="22" t="str">
        <x:f>HYPERLINK("https://etp-aktiv.ru/catalog/materialy/metizy/2000126802-U411/","Открыть позицию")</x:f>
        <x:v>Открыть позицию</x:v>
      </x:c>
    </x:row>
    <x:row r="225" ht="28" customHeight="1">
      <x:c r="A225" s="16" t="str">
        <x:v>Ново-Кемеровская ТЭЦ</x:v>
      </x:c>
      <x:c r="B225" s="16" t="str">
        <x:v>2000261019-U411</x:v>
      </x:c>
      <x:c r="C225" s="16" t="str">
        <x:v>ВИНТ 4*16.01.016 ГОСТ10621-80</x:v>
      </x:c>
      <x:c r="D225" s="16" t="str">
        <x:v>Метизы</x:v>
      </x:c>
      <x:c r="E225" s="16" t="str">
        <x:v>КГ</x:v>
      </x:c>
      <x:c r="F225" s="29" t="n">
        <x:v>3.223</x:v>
      </x:c>
      <x:c r="G225" s="17" t="n">
        <x:v>176.94879999999998</x:v>
      </x:c>
      <x:c r="H225" s="17" t="n">
        <x:f>G225*F225</x:f>
        <x:v>570.3059824</x:v>
      </x:c>
      <x:c r="I225" s="22" t="str">
        <x:f>HYPERLINK("https://etp-aktiv.ru/catalog/materialy/metizy/2000261019-U411/","Открыть позицию")</x:f>
        <x:v>Открыть позицию</x:v>
      </x:c>
    </x:row>
    <x:row r="226" ht="28" customHeight="1">
      <x:c r="A226" s="16" t="str">
        <x:v>Ново-Кемеровская ТЭЦ</x:v>
      </x:c>
      <x:c r="B226" s="16" t="str">
        <x:v>2000287327-U411</x:v>
      </x:c>
      <x:c r="C226" s="16" t="str">
        <x:v>ВТУЛКА БРА9ЖЗЛ 145*75*145 ГОСТ493-79</x:v>
      </x:c>
      <x:c r="D226" s="16" t="str">
        <x:v>Металлопрокат цветной</x:v>
      </x:c>
      <x:c r="E226" s="16" t="str">
        <x:v>ШТ</x:v>
      </x:c>
      <x:c r="F226" s="21" t="n">
        <x:v>1</x:v>
      </x:c>
      <x:c r="G226" s="17" t="n">
        <x:v>13237.7686</x:v>
      </x:c>
      <x:c r="H226" s="17" t="n">
        <x:f>G226*F226</x:f>
        <x:v>13237.7686</x:v>
      </x:c>
      <x:c r="I226" s="22" t="str">
        <x:f>HYPERLINK("https://etp-aktiv.ru/catalog/materialy/metalloprodukciya/2000287327-U411/","Открыть позицию")</x:f>
        <x:v>Открыть позицию</x:v>
      </x:c>
    </x:row>
    <x:row r="227" ht="28" customHeight="1">
      <x:c r="A227" s="16" t="str">
        <x:v>Ново-Кемеровская ТЭЦ</x:v>
      </x:c>
      <x:c r="B227" s="16" t="str">
        <x:v>2000068473-U411</x:v>
      </x:c>
      <x:c r="C227" s="16" t="str">
        <x:v>ГАЙКА М10 ГОСТ5915-70</x:v>
      </x:c>
      <x:c r="D227" s="16" t="str">
        <x:v>Метизы</x:v>
      </x:c>
      <x:c r="E227" s="16" t="str">
        <x:v>КГ</x:v>
      </x:c>
      <x:c r="F227" s="29" t="n">
        <x:v>2.8</x:v>
      </x:c>
      <x:c r="G227" s="17" t="n">
        <x:v>108.3482</x:v>
      </x:c>
      <x:c r="H227" s="17" t="n">
        <x:f>G227*F227</x:f>
        <x:v>303.37496</x:v>
      </x:c>
      <x:c r="I227" s="22" t="str">
        <x:f>HYPERLINK("https://etp-aktiv.ru/catalog/materialy/metizy/2000068473-U411/","Открыть позицию")</x:f>
        <x:v>Открыть позицию</x:v>
      </x:c>
    </x:row>
    <x:row r="228" ht="28" customHeight="1">
      <x:c r="A228" s="16" t="str">
        <x:v>Ново-Кемеровская ТЭЦ</x:v>
      </x:c>
      <x:c r="B228" s="16" t="str">
        <x:v>2000068474-U411</x:v>
      </x:c>
      <x:c r="C228" s="16" t="str">
        <x:v>ГАЙКА М12 ГОСТ5915-70</x:v>
      </x:c>
      <x:c r="D228" s="16" t="str">
        <x:v>Метизы</x:v>
      </x:c>
      <x:c r="E228" s="16" t="str">
        <x:v>КГ</x:v>
      </x:c>
      <x:c r="F228" s="29" t="n">
        <x:v>2.92</x:v>
      </x:c>
      <x:c r="G228" s="17" t="n">
        <x:v>182.39</x:v>
      </x:c>
      <x:c r="H228" s="17" t="n">
        <x:f>G228*F228</x:f>
        <x:v>532.5788</x:v>
      </x:c>
      <x:c r="I228" s="22" t="str">
        <x:f>HYPERLINK("https://etp-aktiv.ru/catalog/materialy/metizy/2000068474-U411/","Открыть позицию")</x:f>
        <x:v>Открыть позицию</x:v>
      </x:c>
    </x:row>
    <x:row r="229" ht="28" customHeight="1">
      <x:c r="A229" s="16" t="str">
        <x:v>Ново-Кемеровская ТЭЦ</x:v>
      </x:c>
      <x:c r="B229" s="16" t="str">
        <x:v>2000068475-U411</x:v>
      </x:c>
      <x:c r="C229" s="16" t="str">
        <x:v>ГАЙКА М14 ГОСТ5915-70</x:v>
      </x:c>
      <x:c r="D229" s="16" t="str">
        <x:v>Метизы</x:v>
      </x:c>
      <x:c r="E229" s="16" t="str">
        <x:v>КГ</x:v>
      </x:c>
      <x:c r="F229" s="21" t="n">
        <x:v>5</x:v>
      </x:c>
      <x:c r="G229" s="17" t="n">
        <x:v>117.8764</x:v>
      </x:c>
      <x:c r="H229" s="17" t="n">
        <x:f>G229*F229</x:f>
        <x:v>589.3820000000001</x:v>
      </x:c>
      <x:c r="I229" s="22" t="str">
        <x:f>HYPERLINK("https://etp-aktiv.ru/catalog/materialy/metizy/2000068475-U411/","Открыть позицию")</x:f>
        <x:v>Открыть позицию</x:v>
      </x:c>
    </x:row>
    <x:row r="230" ht="28" customHeight="1">
      <x:c r="A230" s="16" t="str">
        <x:v>Ново-Кемеровская ТЭЦ</x:v>
      </x:c>
      <x:c r="B230" s="16" t="str">
        <x:v>2000171942-U411</x:v>
      </x:c>
      <x:c r="C230" s="16" t="str">
        <x:v>ГАЙКА М16 ГОСТ5920-51</x:v>
      </x:c>
      <x:c r="D230" s="16" t="str">
        <x:v>Метизы</x:v>
      </x:c>
      <x:c r="E230" s="16" t="str">
        <x:v>ШТ</x:v>
      </x:c>
      <x:c r="F230" s="29" t="n">
        <x:v>458.62</x:v>
      </x:c>
      <x:c r="G230" s="17" t="n">
        <x:v>45.75</x:v>
      </x:c>
      <x:c r="H230" s="17" t="n">
        <x:f>G230*F230</x:f>
        <x:v>20981.865</x:v>
      </x:c>
      <x:c r="I230" s="22" t="str">
        <x:f>HYPERLINK("https://etp-aktiv.ru/catalog/materialy/metizy/2000171942-U411/","Открыть позицию")</x:f>
        <x:v>Открыть позицию</x:v>
      </x:c>
    </x:row>
    <x:row r="231" ht="28" customHeight="1">
      <x:c r="A231" s="16" t="str">
        <x:v>Ново-Кемеровская ТЭЦ</x:v>
      </x:c>
      <x:c r="B231" s="16" t="str">
        <x:v>2000068476-U411</x:v>
      </x:c>
      <x:c r="C231" s="16" t="str">
        <x:v>ГАЙКА М18 ГОСТ5915-70</x:v>
      </x:c>
      <x:c r="D231" s="16" t="str">
        <x:v>Метизы</x:v>
      </x:c>
      <x:c r="E231" s="16" t="str">
        <x:v>КГ</x:v>
      </x:c>
      <x:c r="F231" s="21" t="n">
        <x:v>15</x:v>
      </x:c>
      <x:c r="G231" s="17" t="n">
        <x:v>63.013</x:v>
      </x:c>
      <x:c r="H231" s="17" t="n">
        <x:f>G231*F231</x:f>
        <x:v>945.1949999999999</x:v>
      </x:c>
      <x:c r="I231" s="22" t="str">
        <x:f>HYPERLINK("https://etp-aktiv.ru/catalog/materialy/metizy/2000068476-U411/","Открыть позицию")</x:f>
        <x:v>Открыть позицию</x:v>
      </x:c>
    </x:row>
    <x:row r="232" ht="28" customHeight="1">
      <x:c r="A232" s="16" t="str">
        <x:v>Ново-Кемеровская ТЭЦ</x:v>
      </x:c>
      <x:c r="B232" s="16" t="str">
        <x:v>2000114570-U411</x:v>
      </x:c>
      <x:c r="C232" s="16" t="str">
        <x:v>ГАЙКА М24 ГОСТ5927-70</x:v>
      </x:c>
      <x:c r="D232" s="16" t="str">
        <x:v>Метизы</x:v>
      </x:c>
      <x:c r="E232" s="16" t="str">
        <x:v>КГ</x:v>
      </x:c>
      <x:c r="F232" s="21" t="n">
        <x:v>7</x:v>
      </x:c>
      <x:c r="G232" s="17" t="n">
        <x:v>46.8968</x:v>
      </x:c>
      <x:c r="H232" s="17" t="n">
        <x:f>G232*F232</x:f>
        <x:v>328.2776</x:v>
      </x:c>
      <x:c r="I232" s="22" t="str">
        <x:f>HYPERLINK("https://etp-aktiv.ru/catalog/materialy/metizy/2000114570-U411/","Открыть позицию")</x:f>
        <x:v>Открыть позицию</x:v>
      </x:c>
    </x:row>
    <x:row r="233" ht="28" customHeight="1">
      <x:c r="A233" s="16" t="str">
        <x:v>Ново-Кемеровская ТЭЦ</x:v>
      </x:c>
      <x:c r="B233" s="16" t="str">
        <x:v>2000068479-U411</x:v>
      </x:c>
      <x:c r="C233" s="16" t="str">
        <x:v>ГАЙКА М27 ГОСТ5915-70</x:v>
      </x:c>
      <x:c r="D233" s="16" t="str">
        <x:v>Метизы</x:v>
      </x:c>
      <x:c r="E233" s="16" t="str">
        <x:v>КГ</x:v>
      </x:c>
      <x:c r="F233" s="29" t="n">
        <x:v>8.2</x:v>
      </x:c>
      <x:c r="G233" s="17" t="n">
        <x:v>176.2778</x:v>
      </x:c>
      <x:c r="H233" s="17" t="n">
        <x:f>G233*F233</x:f>
        <x:v>1445.47796</x:v>
      </x:c>
      <x:c r="I233" s="22" t="str">
        <x:f>HYPERLINK("https://etp-aktiv.ru/catalog/materialy/metizy/2000068479-U411/","Открыть позицию")</x:f>
        <x:v>Открыть позицию</x:v>
      </x:c>
    </x:row>
    <x:row r="234" ht="28" customHeight="1">
      <x:c r="A234" s="16" t="str">
        <x:v>Ново-Кемеровская ТЭЦ</x:v>
      </x:c>
      <x:c r="B234" s="16" t="str">
        <x:v>2000179714-U411</x:v>
      </x:c>
      <x:c r="C234" s="16" t="str">
        <x:v>ГАЙКА М27 ГОСТ5927-70</x:v>
      </x:c>
      <x:c r="D234" s="16" t="str">
        <x:v>Метизы</x:v>
      </x:c>
      <x:c r="E234" s="16" t="str">
        <x:v>КГ</x:v>
      </x:c>
      <x:c r="F234" s="21" t="n">
        <x:v>17</x:v>
      </x:c>
      <x:c r="G234" s="17" t="n">
        <x:v>170.00699999999998</x:v>
      </x:c>
      <x:c r="H234" s="17" t="n">
        <x:f>G234*F234</x:f>
        <x:v>2890.1189999999997</x:v>
      </x:c>
      <x:c r="I234" s="22" t="str">
        <x:f>HYPERLINK("https://etp-aktiv.ru/catalog/materialy/metizy/2000179714-U411/","Открыть позицию")</x:f>
        <x:v>Открыть позицию</x:v>
      </x:c>
    </x:row>
    <x:row r="235" ht="28" customHeight="1">
      <x:c r="A235" s="16" t="str">
        <x:v>Ново-Кемеровская ТЭЦ</x:v>
      </x:c>
      <x:c r="B235" s="16" t="str">
        <x:v>2000438001-U411</x:v>
      </x:c>
      <x:c r="C235" s="16" t="str">
        <x:v>ГАЙКА М30 10.9 ГОСТР52645-06</x:v>
      </x:c>
      <x:c r="D235" s="16" t="str">
        <x:v>Метизы</x:v>
      </x:c>
      <x:c r="E235" s="16" t="str">
        <x:v>КГ</x:v>
      </x:c>
      <x:c r="F235" s="21" t="n">
        <x:v>90</x:v>
      </x:c>
      <x:c r="G235" s="17" t="n">
        <x:v>235.20379999999997</x:v>
      </x:c>
      <x:c r="H235" s="17" t="n">
        <x:f>G235*F235</x:f>
        <x:v>21168.341999999997</x:v>
      </x:c>
      <x:c r="I235" s="22" t="str">
        <x:f>HYPERLINK("https://etp-aktiv.ru/catalog/materialy/metizy/2000438001-U411/","Открыть позицию")</x:f>
        <x:v>Открыть позицию</x:v>
      </x:c>
    </x:row>
    <x:row r="236" ht="28" customHeight="1">
      <x:c r="A236" s="16" t="str">
        <x:v>Ново-Кемеровская ТЭЦ</x:v>
      </x:c>
      <x:c r="B236" s="16" t="str">
        <x:v>2000530073-U411</x:v>
      </x:c>
      <x:c r="C236" s="16" t="str">
        <x:v>ГАЙКА М30 ГОСТ5915-70</x:v>
      </x:c>
      <x:c r="D236" s="16" t="str">
        <x:v>Метизы</x:v>
      </x:c>
      <x:c r="E236" s="16" t="str">
        <x:v>ШТ</x:v>
      </x:c>
      <x:c r="F236" s="21" t="n">
        <x:v>10</x:v>
      </x:c>
      <x:c r="G236" s="17" t="n">
        <x:v>29.9266</x:v>
      </x:c>
      <x:c r="H236" s="17" t="n">
        <x:f>G236*F236</x:f>
        <x:v>299.266</x:v>
      </x:c>
      <x:c r="I236" s="22" t="str">
        <x:f>HYPERLINK("https://etp-aktiv.ru/catalog/materialy/metizy/2000530073-U411/","Открыть позицию")</x:f>
        <x:v>Открыть позицию</x:v>
      </x:c>
    </x:row>
    <x:row r="237" ht="28" customHeight="1">
      <x:c r="A237" s="16" t="str">
        <x:v>Ново-Кемеровская ТЭЦ</x:v>
      </x:c>
      <x:c r="B237" s="16" t="str">
        <x:v>2000467528-U411</x:v>
      </x:c>
      <x:c r="C237" s="16" t="str">
        <x:v>ГАЙКА М48 ГОСТ5915-70</x:v>
      </x:c>
      <x:c r="D237" s="16" t="str">
        <x:v>Метизы</x:v>
      </x:c>
      <x:c r="E237" s="16" t="str">
        <x:v>КГ</x:v>
      </x:c>
      <x:c r="F237" s="29" t="n">
        <x:v>6.7</x:v>
      </x:c>
      <x:c r="G237" s="17" t="n">
        <x:v>103.1266</x:v>
      </x:c>
      <x:c r="H237" s="17" t="n">
        <x:f>G237*F237</x:f>
        <x:v>690.94822</x:v>
      </x:c>
      <x:c r="I237" s="22" t="str">
        <x:f>HYPERLINK("https://etp-aktiv.ru/catalog/materialy/metizy/2000467528-U411/","Открыть позицию")</x:f>
        <x:v>Открыть позицию</x:v>
      </x:c>
    </x:row>
    <x:row r="238" ht="28" customHeight="1">
      <x:c r="A238" s="16" t="str">
        <x:v>Ново-Кемеровская ТЭЦ</x:v>
      </x:c>
      <x:c r="B238" s="16" t="str">
        <x:v>2000002615-U411</x:v>
      </x:c>
      <x:c r="C238" s="16" t="str">
        <x:v>ГАЙКА М8 ГОСТ5915-70</x:v>
      </x:c>
      <x:c r="D238" s="16" t="str">
        <x:v>Метизы</x:v>
      </x:c>
      <x:c r="E238" s="16" t="str">
        <x:v>КГ</x:v>
      </x:c>
      <x:c r="F238" s="21" t="n">
        <x:v>1</x:v>
      </x:c>
      <x:c r="G238" s="17" t="n">
        <x:v>24.583</x:v>
      </x:c>
      <x:c r="H238" s="17" t="n">
        <x:f>G238*F238</x:f>
        <x:v>24.583</x:v>
      </x:c>
      <x:c r="I238" s="22" t="str">
        <x:f>HYPERLINK("https://etp-aktiv.ru/catalog/materialy/metizy/2000002615-U411/","Открыть позицию")</x:f>
        <x:v>Открыть позицию</x:v>
      </x:c>
    </x:row>
    <x:row r="239" ht="28" customHeight="1">
      <x:c r="A239" s="16" t="str">
        <x:v>Ново-Кемеровская ТЭЦ</x:v>
      </x:c>
      <x:c r="B239" s="16" t="str">
        <x:v>2000068544-U411</x:v>
      </x:c>
      <x:c r="C239" s="16" t="str">
        <x:v>ГВОЗДЬ 3,5*90 ГОСТ4028-63</x:v>
      </x:c>
      <x:c r="D239" s="16" t="str">
        <x:v>Метизы</x:v>
      </x:c>
      <x:c r="E239" s="16" t="str">
        <x:v>КГ</x:v>
      </x:c>
      <x:c r="F239" s="21" t="n">
        <x:v>77</x:v>
      </x:c>
      <x:c r="G239" s="17" t="n">
        <x:v>45.28639999999999</x:v>
      </x:c>
      <x:c r="H239" s="17" t="n">
        <x:f>G239*F239</x:f>
        <x:v>3487.0527999999995</x:v>
      </x:c>
      <x:c r="I239" s="22" t="str">
        <x:f>HYPERLINK("https://etp-aktiv.ru/catalog/materialy/metizy/2000068544-U411/","Открыть позицию")</x:f>
        <x:v>Открыть позицию</x:v>
      </x:c>
    </x:row>
    <x:row r="240" ht="28" customHeight="1">
      <x:c r="A240" s="16" t="str">
        <x:v>Ново-Кемеровская ТЭЦ</x:v>
      </x:c>
      <x:c r="B240" s="16" t="str">
        <x:v>2000758605-U411</x:v>
      </x:c>
      <x:c r="C240" s="16" t="str">
        <x:v>ГВОЗДЬ 4*100 ГОСТ4028-63</x:v>
      </x:c>
      <x:c r="D240" s="16" t="str">
        <x:v>Метизы</x:v>
      </x:c>
      <x:c r="E240" s="16" t="str">
        <x:v>КГ</x:v>
      </x:c>
      <x:c r="F240" s="21" t="n">
        <x:v>292</x:v>
      </x:c>
      <x:c r="G240" s="17" t="n">
        <x:v>39.9184</x:v>
      </x:c>
      <x:c r="H240" s="17" t="n">
        <x:f>G240*F240</x:f>
        <x:v>11656.1728</x:v>
      </x:c>
      <x:c r="I240" s="22" t="str">
        <x:f>HYPERLINK("https://etp-aktiv.ru/catalog/materialy/metizy/2000758605-U411/","Открыть позицию")</x:f>
        <x:v>Открыть позицию</x:v>
      </x:c>
    </x:row>
    <x:row r="241" ht="28" customHeight="1">
      <x:c r="A241" s="16" t="str">
        <x:v>Ново-Кемеровская ТЭЦ</x:v>
      </x:c>
      <x:c r="B241" s="16" t="str">
        <x:v>2000335565-U411</x:v>
      </x:c>
      <x:c r="C241" s="16" t="str">
        <x:v>КОЛЬЦО А30 ГОСТ13942-86</x:v>
      </x:c>
      <x:c r="D241" s="16" t="str">
        <x:v>Метизы специализированные и под заказ</x:v>
      </x:c>
      <x:c r="E241" s="16" t="str">
        <x:v>ШТ</x:v>
      </x:c>
      <x:c r="F241" s="21" t="n">
        <x:v>100</x:v>
      </x:c>
      <x:c r="G241" s="17" t="n">
        <x:v>343.125</x:v>
      </x:c>
      <x:c r="H241" s="17" t="n">
        <x:f>G241*F241</x:f>
        <x:v>34312.5</x:v>
      </x:c>
      <x:c r="I241" s="22" t="str">
        <x:f>HYPERLINK("https://etp-aktiv.ru/catalog/materialy/metizy/2000335565-U411/","Открыть позицию")</x:f>
        <x:v>Открыть позицию</x:v>
      </x:c>
    </x:row>
    <x:row r="242" ht="28" customHeight="1">
      <x:c r="A242" s="16" t="str">
        <x:v>Ново-Кемеровская ТЭЦ</x:v>
      </x:c>
      <x:c r="B242" s="16" t="str">
        <x:v>2000680344-U411</x:v>
      </x:c>
      <x:c r="C242" s="16" t="str">
        <x:v>КОЛЬЦО А50 ГОСТ13942-86</x:v>
      </x:c>
      <x:c r="D242" s="16" t="str">
        <x:v>Метизы специализированные и под заказ</x:v>
      </x:c>
      <x:c r="E242" s="16" t="str">
        <x:v>ШТ</x:v>
      </x:c>
      <x:c r="F242" s="21" t="n">
        <x:v>2</x:v>
      </x:c>
      <x:c r="G242" s="17" t="n">
        <x:v>228.75</x:v>
      </x:c>
      <x:c r="H242" s="17" t="n">
        <x:f>G242*F242</x:f>
        <x:v>457.5</x:v>
      </x:c>
      <x:c r="I242" s="22" t="str">
        <x:f>HYPERLINK("https://etp-aktiv.ru/catalog/materialy/metizy/2000680344-U411/","Открыть позицию")</x:f>
        <x:v>Открыть позицию</x:v>
      </x:c>
    </x:row>
    <x:row r="243" ht="28" customHeight="1">
      <x:c r="A243" s="16" t="str">
        <x:v>Ново-Кемеровская ТЭЦ</x:v>
      </x:c>
      <x:c r="B243" s="16" t="str">
        <x:v>2000214984-U411</x:v>
      </x:c>
      <x:c r="C243" s="16" t="str">
        <x:v>КОЛЬЦО СТОПОРНОЕ D62ММ СТ65 ГОСТ13943-86</x:v>
      </x:c>
      <x:c r="D243" s="16" t="str">
        <x:v>Метизы специализированные и под заказ</x:v>
      </x:c>
      <x:c r="E243" s="16" t="str">
        <x:v>ШТ</x:v>
      </x:c>
      <x:c r="F243" s="21" t="n">
        <x:v>50</x:v>
      </x:c>
      <x:c r="G243" s="17" t="n">
        <x:v>343.125</x:v>
      </x:c>
      <x:c r="H243" s="17" t="n">
        <x:f>G243*F243</x:f>
        <x:v>17156.25</x:v>
      </x:c>
      <x:c r="I243" s="22" t="str">
        <x:f>HYPERLINK("https://etp-aktiv.ru/catalog/materialy/metizy/2000214984-U411/","Открыть позицию")</x:f>
        <x:v>Открыть позицию</x:v>
      </x:c>
    </x:row>
    <x:row r="244" ht="28" customHeight="1">
      <x:c r="A244" s="16" t="str">
        <x:v>Ново-Кемеровская ТЭЦ</x:v>
      </x:c>
      <x:c r="B244" s="16" t="str">
        <x:v>2000335204-U411</x:v>
      </x:c>
      <x:c r="C244" s="16" t="str">
        <x:v>КОЛЬЦО СТОПОРНОЕ А-52 ГОСТ13943-86</x:v>
      </x:c>
      <x:c r="D244" s="16" t="str">
        <x:v>Метизы специализированные и под заказ</x:v>
      </x:c>
      <x:c r="E244" s="16" t="str">
        <x:v>ШТ</x:v>
      </x:c>
      <x:c r="F244" s="21" t="n">
        <x:v>50</x:v>
      </x:c>
      <x:c r="G244" s="17" t="n">
        <x:v>48.043600000000005</x:v>
      </x:c>
      <x:c r="H244" s="17" t="n">
        <x:f>G244*F244</x:f>
        <x:v>2402.1800000000003</x:v>
      </x:c>
      <x:c r="I244" s="22" t="str">
        <x:f>HYPERLINK("https://etp-aktiv.ru/catalog/materialy/metizy/2000335204-U411/","Открыть позицию")</x:f>
        <x:v>Открыть позицию</x:v>
      </x:c>
    </x:row>
    <x:row r="245" ht="28" customHeight="1">
      <x:c r="A245" s="16" t="str">
        <x:v>Ново-Кемеровская ТЭЦ</x:v>
      </x:c>
      <x:c r="B245" s="16" t="str">
        <x:v>2000245863-U411</x:v>
      </x:c>
      <x:c r="C245" s="16" t="str">
        <x:v>КОЛЬЦО СТОПОРНОЕ А-72 ГОСТ13943-86</x:v>
      </x:c>
      <x:c r="D245" s="16" t="str">
        <x:v>Метизы специализированные и под заказ</x:v>
      </x:c>
      <x:c r="E245" s="16" t="str">
        <x:v>ШТ</x:v>
      </x:c>
      <x:c r="F245" s="21" t="n">
        <x:v>50</x:v>
      </x:c>
      <x:c r="G245" s="17" t="n">
        <x:v>343.125</x:v>
      </x:c>
      <x:c r="H245" s="17" t="n">
        <x:f>G245*F245</x:f>
        <x:v>17156.25</x:v>
      </x:c>
      <x:c r="I245" s="22" t="str">
        <x:f>HYPERLINK("https://etp-aktiv.ru/catalog/materialy/metizy/2000245863-U411/","Открыть позицию")</x:f>
        <x:v>Открыть позицию</x:v>
      </x:c>
    </x:row>
    <x:row r="246" ht="28" customHeight="1">
      <x:c r="A246" s="16" t="str">
        <x:v>Ново-Кемеровская ТЭЦ</x:v>
      </x:c>
      <x:c r="B246" s="16" t="str">
        <x:v>2000869237-U411</x:v>
      </x:c>
      <x:c r="C246" s="16" t="str">
        <x:v>КРУГ 12Х13 34ММ ГОСТ5949-2018</x:v>
      </x:c>
      <x:c r="D246" s="16" t="str">
        <x:v>Металлопрокат из нержавеющей стали</x:v>
      </x:c>
      <x:c r="E246" s="16" t="str">
        <x:v>Т</x:v>
      </x:c>
      <x:c r="F246" s="30" t="n">
        <x:v>0.076</x:v>
      </x:c>
      <x:c r="G246" s="17" t="n">
        <x:v>177967.5</x:v>
      </x:c>
      <x:c r="H246" s="17" t="n">
        <x:f>G246*F246</x:f>
        <x:v>13525.529999999999</x:v>
      </x:c>
      <x:c r="I246" s="22" t="str">
        <x:f>HYPERLINK("https://etp-aktiv.ru/catalog/materialy/metalloprodukciya/2000869237-U411/","Открыть позицию")</x:f>
        <x:v>Открыть позицию</x:v>
      </x:c>
    </x:row>
    <x:row r="247" ht="28" customHeight="1">
      <x:c r="A247" s="16" t="str">
        <x:v>Ново-Кемеровская ТЭЦ</x:v>
      </x:c>
      <x:c r="B247" s="16" t="str">
        <x:v>2000242099-U411</x:v>
      </x:c>
      <x:c r="C247" s="16" t="str">
        <x:v>КРУГ 12Х18Н10Т D120ММ ГОСТ5949-75</x:v>
      </x:c>
      <x:c r="D247" s="16" t="str">
        <x:v>Металлопрокат из нержавеющей стали</x:v>
      </x:c>
      <x:c r="E247" s="16" t="str">
        <x:v>Т</x:v>
      </x:c>
      <x:c r="F247" s="30" t="n">
        <x:v>0.167</x:v>
      </x:c>
      <x:c r="G247" s="17" t="n">
        <x:v>230465.6006</x:v>
      </x:c>
      <x:c r="H247" s="17" t="n">
        <x:f>G247*F247</x:f>
        <x:v>38487.755300200006</x:v>
      </x:c>
      <x:c r="I247" s="22" t="str">
        <x:f>HYPERLINK("https://etp-aktiv.ru/catalog/materialy/metalloprodukciya/2000242099-U411/","Открыть позицию")</x:f>
        <x:v>Открыть позицию</x:v>
      </x:c>
    </x:row>
    <x:row r="248" ht="28" customHeight="1">
      <x:c r="A248" s="16" t="str">
        <x:v>Ново-Кемеровская ТЭЦ</x:v>
      </x:c>
      <x:c r="B248" s="16" t="str">
        <x:v>2000148461-U411</x:v>
      </x:c>
      <x:c r="C248" s="16" t="str">
        <x:v>КРУГ 12Х18Н10Т D40ММ ГОСТ5949-75</x:v>
      </x:c>
      <x:c r="D248" s="16" t="str">
        <x:v>Металлопрокат из нержавеющей стали</x:v>
      </x:c>
      <x:c r="E248" s="16" t="str">
        <x:v>Т</x:v>
      </x:c>
      <x:c r="F248" s="30" t="n">
        <x:v>0.087</x:v>
      </x:c>
      <x:c r="G248" s="17" t="n">
        <x:v>231958.2584</x:v>
      </x:c>
      <x:c r="H248" s="17" t="n">
        <x:f>G248*F248</x:f>
        <x:v>20180.368480799996</x:v>
      </x:c>
      <x:c r="I248" s="22" t="str">
        <x:f>HYPERLINK("https://etp-aktiv.ru/catalog/materialy/metalloprodukciya/2000148461-U411/","Открыть позицию")</x:f>
        <x:v>Открыть позицию</x:v>
      </x:c>
    </x:row>
    <x:row r="249" ht="28" customHeight="1">
      <x:c r="A249" s="16" t="str">
        <x:v>Ново-Кемеровская ТЭЦ</x:v>
      </x:c>
      <x:c r="B249" s="16" t="str">
        <x:v>2000148233-U411</x:v>
      </x:c>
      <x:c r="C249" s="16" t="str">
        <x:v>КРУГ 12Х18Н10Т D50ММ ГОСТ5949-75</x:v>
      </x:c>
      <x:c r="D249" s="16" t="str">
        <x:v>Металлопрокат из нержавеющей стали</x:v>
      </x:c>
      <x:c r="E249" s="16" t="str">
        <x:v>Т</x:v>
      </x:c>
      <x:c r="F249" s="21" t="n">
        <x:v>0</x:v>
      </x:c>
      <x:c r="G249" s="17" t="n">
        <x:v>171116.1752</x:v>
      </x:c>
      <x:c r="H249" s="17" t="n">
        <x:f>G249*F249</x:f>
        <x:v>0</x:v>
      </x:c>
      <x:c r="I249" s="22" t="str">
        <x:f>HYPERLINK("https://etp-aktiv.ru/catalog/materialy/metalloprodukciya/2000148233-U411/","Открыть позицию")</x:f>
        <x:v>Открыть позицию</x:v>
      </x:c>
    </x:row>
    <x:row r="250" ht="28" customHeight="1">
      <x:c r="A250" s="16" t="str">
        <x:v>Ново-Кемеровская ТЭЦ</x:v>
      </x:c>
      <x:c r="B250" s="16" t="str">
        <x:v>2000151141-U411</x:v>
      </x:c>
      <x:c r="C250" s="16" t="str">
        <x:v>КРУГ 12Х18Н10Т D60ММ ГОСТ5949-75</x:v>
      </x:c>
      <x:c r="D250" s="16" t="str">
        <x:v>Металлопрокат из нержавеющей стали</x:v>
      </x:c>
      <x:c r="E250" s="16" t="str">
        <x:v>Т</x:v>
      </x:c>
      <x:c r="F250" s="30" t="n">
        <x:v>0.056</x:v>
      </x:c>
      <x:c r="G250" s="17" t="n">
        <x:v>249383.25</x:v>
      </x:c>
      <x:c r="H250" s="17" t="n">
        <x:f>G250*F250</x:f>
        <x:v>13965.462</x:v>
      </x:c>
      <x:c r="I250" s="22" t="str">
        <x:f>HYPERLINK("https://etp-aktiv.ru/catalog/materialy/metalloprodukciya/2000151141-U411/","Открыть позицию")</x:f>
        <x:v>Открыть позицию</x:v>
      </x:c>
    </x:row>
    <x:row r="251" ht="28" customHeight="1">
      <x:c r="A251" s="16" t="str">
        <x:v>Ново-Кемеровская ТЭЦ</x:v>
      </x:c>
      <x:c r="B251" s="16" t="str">
        <x:v>2000147438-U411</x:v>
      </x:c>
      <x:c r="C251" s="16" t="str">
        <x:v>КРУГ 12Х18Н10Т D70ММ ГОСТ5949-75</x:v>
      </x:c>
      <x:c r="D251" s="16" t="str">
        <x:v>Металлопрокат из нержавеющей стали</x:v>
      </x:c>
      <x:c r="E251" s="16" t="str">
        <x:v>Т</x:v>
      </x:c>
      <x:c r="F251" s="30" t="n">
        <x:v>0.033</x:v>
      </x:c>
      <x:c r="G251" s="17" t="n">
        <x:v>287574.31299999997</x:v>
      </x:c>
      <x:c r="H251" s="17" t="n">
        <x:f>G251*F251</x:f>
        <x:v>9489.952329</x:v>
      </x:c>
      <x:c r="I251" s="22" t="str">
        <x:f>HYPERLINK("https://etp-aktiv.ru/catalog/materialy/metalloprodukciya/2000147438-U411/","Открыть позицию")</x:f>
        <x:v>Открыть позицию</x:v>
      </x:c>
    </x:row>
    <x:row r="252" ht="28" customHeight="1">
      <x:c r="A252" s="16" t="str">
        <x:v>Ново-Кемеровская ТЭЦ</x:v>
      </x:c>
      <x:c r="B252" s="16" t="str">
        <x:v>2000594611-U411</x:v>
      </x:c>
      <x:c r="C252" s="16" t="str">
        <x:v>КРУГ 12Х18Н10Т D70ММ ГОСТ5949-75</x:v>
      </x:c>
      <x:c r="D252" s="16" t="str">
        <x:v>Металлопрокат из нержавеющей стали</x:v>
      </x:c>
      <x:c r="E252" s="16" t="str">
        <x:v>КГ</x:v>
      </x:c>
      <x:c r="F252" s="21" t="n">
        <x:v>31</x:v>
      </x:c>
      <x:c r="G252" s="17" t="n">
        <x:v>209.99859999999998</x:v>
      </x:c>
      <x:c r="H252" s="17" t="n">
        <x:f>G252*F252</x:f>
        <x:v>6509.9565999999995</x:v>
      </x:c>
      <x:c r="I252" s="22" t="str">
        <x:f>HYPERLINK("https://etp-aktiv.ru/catalog/materialy/metalloprodukciya/2000594611-U411/","Открыть позицию")</x:f>
        <x:v>Открыть позицию</x:v>
      </x:c>
    </x:row>
    <x:row r="253" ht="28" customHeight="1">
      <x:c r="A253" s="16" t="str">
        <x:v>Ново-Кемеровская ТЭЦ</x:v>
      </x:c>
      <x:c r="B253" s="16" t="str">
        <x:v>2000147439-U411</x:v>
      </x:c>
      <x:c r="C253" s="16" t="str">
        <x:v>КРУГ 12Х18Н10Т D80ММ ГОСТ5949-75</x:v>
      </x:c>
      <x:c r="D253" s="16" t="str">
        <x:v>Металлопрокат из нержавеющей стали</x:v>
      </x:c>
      <x:c r="E253" s="16" t="str">
        <x:v>Т</x:v>
      </x:c>
      <x:c r="F253" s="21" t="n">
        <x:v>0</x:v>
      </x:c>
      <x:c r="G253" s="17" t="n">
        <x:v>201412.8988</x:v>
      </x:c>
      <x:c r="H253" s="17" t="n">
        <x:f>G253*F253</x:f>
        <x:v>0</x:v>
      </x:c>
      <x:c r="I253" s="22" t="str">
        <x:f>HYPERLINK("https://etp-aktiv.ru/catalog/materialy/metalloprodukciya/2000147439-U411/","Открыть позицию")</x:f>
        <x:v>Открыть позицию</x:v>
      </x:c>
    </x:row>
    <x:row r="254" ht="28" customHeight="1">
      <x:c r="A254" s="16" t="str">
        <x:v>Ново-Кемеровская ТЭЦ</x:v>
      </x:c>
      <x:c r="B254" s="16" t="str">
        <x:v>2000165181-U411</x:v>
      </x:c>
      <x:c r="C254" s="16" t="str">
        <x:v>КРУГ 12Х1МФ D50ММ ГОСТ20072-74</x:v>
      </x:c>
      <x:c r="D254" s="16" t="str">
        <x:v>Металлопрокат из нержавеющей стали</x:v>
      </x:c>
      <x:c r="E254" s="16" t="str">
        <x:v>Т</x:v>
      </x:c>
      <x:c r="F254" s="30" t="n">
        <x:v>0.004</x:v>
      </x:c>
      <x:c r="G254" s="17" t="n">
        <x:v>289750.7686</x:v>
      </x:c>
      <x:c r="H254" s="17" t="n">
        <x:f>G254*F254</x:f>
        <x:v>1159.0030744</x:v>
      </x:c>
      <x:c r="I254" s="22" t="str">
        <x:f>HYPERLINK("https://etp-aktiv.ru/catalog/materialy/metalloprodukciya/2000165181-U411/","Открыть позицию")</x:f>
        <x:v>Открыть позицию</x:v>
      </x:c>
    </x:row>
    <x:row r="255" ht="28" customHeight="1">
      <x:c r="A255" s="16" t="str">
        <x:v>Ново-Кемеровская ТЭЦ</x:v>
      </x:c>
      <x:c r="B255" s="16" t="str">
        <x:v>2000176073-U411</x:v>
      </x:c>
      <x:c r="C255" s="16" t="str">
        <x:v>КРУГ 20Х1М1Ф1ТР D40ММ ГОСТ20072-74</x:v>
      </x:c>
      <x:c r="D255" s="16" t="str">
        <x:v>Металлопрокат из нержавеющей стали</x:v>
      </x:c>
      <x:c r="E255" s="16" t="str">
        <x:v>Т</x:v>
      </x:c>
      <x:c r="F255" s="30" t="n">
        <x:v>0.14</x:v>
      </x:c>
      <x:c r="G255" s="17" t="n">
        <x:v>81285.5378</x:v>
      </x:c>
      <x:c r="H255" s="17" t="n">
        <x:f>G255*F255</x:f>
        <x:v>11379.975292000001</x:v>
      </x:c>
      <x:c r="I255" s="22" t="str">
        <x:f>HYPERLINK("https://etp-aktiv.ru/catalog/materialy/metalloprodukciya/2000176073-U411/","Открыть позицию")</x:f>
        <x:v>Открыть позицию</x:v>
      </x:c>
    </x:row>
    <x:row r="256" ht="28" customHeight="1">
      <x:c r="A256" s="16" t="str">
        <x:v>Ново-Кемеровская ТЭЦ</x:v>
      </x:c>
      <x:c r="B256" s="16" t="str">
        <x:v>2000555535-U411</x:v>
      </x:c>
      <x:c r="C256" s="16" t="str">
        <x:v>КРУГ 25Х1МФ D100ММ ГОСТ20072-74</x:v>
      </x:c>
      <x:c r="D256" s="16" t="str">
        <x:v>Металлопрокат из нержавеющей стали</x:v>
      </x:c>
      <x:c r="E256" s="16" t="str">
        <x:v>Т</x:v>
      </x:c>
      <x:c r="F256" s="30" t="n">
        <x:v>0.048</x:v>
      </x:c>
      <x:c r="G256" s="17" t="n">
        <x:v>165386.25</x:v>
      </x:c>
      <x:c r="H256" s="17" t="n">
        <x:f>G256*F256</x:f>
        <x:v>7938.54</x:v>
      </x:c>
      <x:c r="I256" s="22" t="str">
        <x:f>HYPERLINK("https://etp-aktiv.ru/catalog/materialy/metalloprodukciya/2000555535-U411/","Открыть позицию")</x:f>
        <x:v>Открыть позицию</x:v>
      </x:c>
    </x:row>
    <x:row r="257" ht="28" customHeight="1">
      <x:c r="A257" s="16" t="str">
        <x:v>Ново-Кемеровская ТЭЦ</x:v>
      </x:c>
      <x:c r="B257" s="16" t="str">
        <x:v>2000176058-U411</x:v>
      </x:c>
      <x:c r="C257" s="16" t="str">
        <x:v>КРУГ 25Х1МФ D20ММ ГОСТ20072-74</x:v>
      </x:c>
      <x:c r="D257" s="16" t="str">
        <x:v>Металлопрокат из нержавеющей стали</x:v>
      </x:c>
      <x:c r="E257" s="16" t="str">
        <x:v>Т</x:v>
      </x:c>
      <x:c r="F257" s="30" t="n">
        <x:v>0.112</x:v>
      </x:c>
      <x:c r="G257" s="17" t="n">
        <x:v>74500.0076</x:v>
      </x:c>
      <x:c r="H257" s="17" t="n">
        <x:f>G257*F257</x:f>
        <x:v>8344.0008512</x:v>
      </x:c>
      <x:c r="I257" s="22" t="str">
        <x:f>HYPERLINK("https://etp-aktiv.ru/catalog/materialy/metalloprodukciya/2000176058-U411/","Открыть позицию")</x:f>
        <x:v>Открыть позицию</x:v>
      </x:c>
    </x:row>
    <x:row r="258" ht="28" customHeight="1">
      <x:c r="A258" s="16" t="str">
        <x:v>Ново-Кемеровская ТЭЦ</x:v>
      </x:c>
      <x:c r="B258" s="16" t="str">
        <x:v>2000181903-U411</x:v>
      </x:c>
      <x:c r="C258" s="16" t="str">
        <x:v>КРУГ 25Х1МФ D50ММ ГОСТ20072-74</x:v>
      </x:c>
      <x:c r="D258" s="16" t="str">
        <x:v>Металлопрокат из нержавеющей стали</x:v>
      </x:c>
      <x:c r="E258" s="16" t="str">
        <x:v>Т</x:v>
      </x:c>
      <x:c r="F258" s="30" t="n">
        <x:v>0.103</x:v>
      </x:c>
      <x:c r="G258" s="17" t="n">
        <x:v>84637.5</x:v>
      </x:c>
      <x:c r="H258" s="17" t="n">
        <x:f>G258*F258</x:f>
        <x:v>8717.6625</x:v>
      </x:c>
      <x:c r="I258" s="22" t="str">
        <x:f>HYPERLINK("https://etp-aktiv.ru/catalog/materialy/metalloprodukciya/2000181903-U411/","Открыть позицию")</x:f>
        <x:v>Открыть позицию</x:v>
      </x:c>
    </x:row>
    <x:row r="259" ht="28" customHeight="1">
      <x:c r="A259" s="16" t="str">
        <x:v>Ново-Кемеровская ТЭЦ</x:v>
      </x:c>
      <x:c r="B259" s="16" t="str">
        <x:v>2000184414-U411</x:v>
      </x:c>
      <x:c r="C259" s="16" t="str">
        <x:v>КРУГ М1 D40ММ ГОСТ1535-91</x:v>
      </x:c>
      <x:c r="D259" s="16" t="str">
        <x:v>Металлопрокат цветной</x:v>
      </x:c>
      <x:c r="E259" s="16" t="str">
        <x:v>КГ</x:v>
      </x:c>
      <x:c r="F259" s="29" t="n">
        <x:v>5.45</x:v>
      </x:c>
      <x:c r="G259" s="17" t="n">
        <x:v>1143.8354</x:v>
      </x:c>
      <x:c r="H259" s="17" t="n">
        <x:f>G259*F259</x:f>
        <x:v>6233.90293</x:v>
      </x:c>
      <x:c r="I259" s="22" t="str">
        <x:f>HYPERLINK("https://etp-aktiv.ru/catalog/materialy/metalloprodukciya/2000184414-U411/","Открыть позицию")</x:f>
        <x:v>Открыть позицию</x:v>
      </x:c>
    </x:row>
    <x:row r="260" ht="28" customHeight="1">
      <x:c r="A260" s="16" t="str">
        <x:v>Ново-Кемеровская ТЭЦ</x:v>
      </x:c>
      <x:c r="B260" s="16" t="str">
        <x:v>2000781533-U411</x:v>
      </x:c>
      <x:c r="C260" s="16" t="str">
        <x:v>КРУГ С235 6ММ ГОСТ2590-2006</x:v>
      </x:c>
      <x:c r="D260" s="16" t="str">
        <x:v>Металлопрокат черный</x:v>
      </x:c>
      <x:c r="E260" s="16" t="str">
        <x:v>Т</x:v>
      </x:c>
      <x:c r="F260" s="30" t="n">
        <x:v>0.001</x:v>
      </x:c>
      <x:c r="G260" s="17" t="n">
        <x:v>159612.6</x:v>
      </x:c>
      <x:c r="H260" s="17" t="n">
        <x:f>G260*F260</x:f>
        <x:v>159.61260000000001</x:v>
      </x:c>
      <x:c r="I260" s="22" t="str">
        <x:f>HYPERLINK("https://etp-aktiv.ru/catalog/materialy/metalloprodukciya/2000781533-U411/","Открыть позицию")</x:f>
        <x:v>Открыть позицию</x:v>
      </x:c>
    </x:row>
    <x:row r="261" ht="28" customHeight="1">
      <x:c r="A261" s="16" t="str">
        <x:v>Ново-Кемеровская ТЭЦ</x:v>
      </x:c>
      <x:c r="B261" s="16" t="str">
        <x:v>2000148524-U411</x:v>
      </x:c>
      <x:c r="C261" s="16" t="str">
        <x:v>КРУГ СТ20 D24ММ ГОСТ2590-88</x:v>
      </x:c>
      <x:c r="D261" s="16" t="str">
        <x:v>Металлопрокат черный</x:v>
      </x:c>
      <x:c r="E261" s="16" t="str">
        <x:v>Т</x:v>
      </x:c>
      <x:c r="F261" s="30" t="n">
        <x:v>0.004</x:v>
      </x:c>
      <x:c r="G261" s="17" t="n">
        <x:v>77775</x:v>
      </x:c>
      <x:c r="H261" s="17" t="n">
        <x:f>G261*F261</x:f>
        <x:v>311.1</x:v>
      </x:c>
      <x:c r="I261" s="22" t="str">
        <x:f>HYPERLINK("https://etp-aktiv.ru/catalog/materialy/metalloprodukciya/2000148524-U411/","Открыть позицию")</x:f>
        <x:v>Открыть позицию</x:v>
      </x:c>
    </x:row>
    <x:row r="262" ht="28" customHeight="1">
      <x:c r="A262" s="16" t="str">
        <x:v>Ново-Кемеровская ТЭЦ</x:v>
      </x:c>
      <x:c r="B262" s="16" t="str">
        <x:v>2000015158-U411</x:v>
      </x:c>
      <x:c r="C262" s="16" t="str">
        <x:v>КРУГ СТ3 D12ММ ГОСТ2590-2006</x:v>
      </x:c>
      <x:c r="D262" s="16" t="str">
        <x:v>Металлопрокат черный</x:v>
      </x:c>
      <x:c r="E262" s="16" t="str">
        <x:v>Т</x:v>
      </x:c>
      <x:c r="F262" s="30" t="n">
        <x:v>0.12</x:v>
      </x:c>
      <x:c r="G262" s="17" t="n">
        <x:v>42449.9976</x:v>
      </x:c>
      <x:c r="H262" s="17" t="n">
        <x:f>G262*F262</x:f>
        <x:v>5093.999712</x:v>
      </x:c>
      <x:c r="I262" s="22" t="str">
        <x:f>HYPERLINK("https://etp-aktiv.ru/catalog/materialy/metalloprodukciya/2000015158-U411/","Открыть позицию")</x:f>
        <x:v>Открыть позицию</x:v>
      </x:c>
    </x:row>
    <x:row r="263" ht="28" customHeight="1">
      <x:c r="A263" s="16" t="str">
        <x:v>Ново-Кемеровская ТЭЦ</x:v>
      </x:c>
      <x:c r="B263" s="16" t="str">
        <x:v>2000015312-U411</x:v>
      </x:c>
      <x:c r="C263" s="16" t="str">
        <x:v>КРУГ СТ3 D14ММ ГОСТ2590-2006</x:v>
      </x:c>
      <x:c r="D263" s="16" t="str">
        <x:v>Металлопрокат черный</x:v>
      </x:c>
      <x:c r="E263" s="16" t="str">
        <x:v>Т</x:v>
      </x:c>
      <x:c r="F263" s="30" t="n">
        <x:v>0.12</x:v>
      </x:c>
      <x:c r="G263" s="17" t="n">
        <x:v>42449.9976</x:v>
      </x:c>
      <x:c r="H263" s="17" t="n">
        <x:f>G263*F263</x:f>
        <x:v>5093.999712</x:v>
      </x:c>
      <x:c r="I263" s="22" t="str">
        <x:f>HYPERLINK("https://etp-aktiv.ru/catalog/materialy/metalloprodukciya/2000015312-U411/","Открыть позицию")</x:f>
        <x:v>Открыть позицию</x:v>
      </x:c>
    </x:row>
    <x:row r="264" ht="28" customHeight="1">
      <x:c r="A264" s="16" t="str">
        <x:v>Ново-Кемеровская ТЭЦ</x:v>
      </x:c>
      <x:c r="B264" s="16" t="str">
        <x:v>2000015138-U411</x:v>
      </x:c>
      <x:c r="C264" s="16" t="str">
        <x:v>КРУГ СТ3 D30ММ ГОСТ2590-2006</x:v>
      </x:c>
      <x:c r="D264" s="16" t="str">
        <x:v>Металлопрокат черный</x:v>
      </x:c>
      <x:c r="E264" s="16" t="str">
        <x:v>Т</x:v>
      </x:c>
      <x:c r="F264" s="30" t="n">
        <x:v>0.415</x:v>
      </x:c>
      <x:c r="G264" s="17" t="n">
        <x:v>32025</x:v>
      </x:c>
      <x:c r="H264" s="17" t="n">
        <x:f>G264*F264</x:f>
        <x:v>13290.375</x:v>
      </x:c>
      <x:c r="I264" s="22" t="str">
        <x:f>HYPERLINK("https://etp-aktiv.ru/catalog/materialy/metalloprodukciya/2000015138-U411/","Открыть позицию")</x:f>
        <x:v>Открыть позицию</x:v>
      </x:c>
    </x:row>
    <x:row r="265" ht="28" customHeight="1">
      <x:c r="A265" s="16" t="str">
        <x:v>Ново-Кемеровская ТЭЦ</x:v>
      </x:c>
      <x:c r="B265" s="16" t="str">
        <x:v>2000014890-U411</x:v>
      </x:c>
      <x:c r="C265" s="16" t="str">
        <x:v>КРУГ СТ3 D40ММ ГОСТ2590-2006</x:v>
      </x:c>
      <x:c r="D265" s="16" t="str">
        <x:v>Металлопрокат черный</x:v>
      </x:c>
      <x:c r="E265" s="16" t="str">
        <x:v>Т</x:v>
      </x:c>
      <x:c r="F265" s="30" t="n">
        <x:v>0.07</x:v>
      </x:c>
      <x:c r="G265" s="17" t="n">
        <x:v>44468.39</x:v>
      </x:c>
      <x:c r="H265" s="17" t="n">
        <x:f>G265*F265</x:f>
        <x:v>3112.7873000000004</x:v>
      </x:c>
      <x:c r="I265" s="22" t="str">
        <x:f>HYPERLINK("https://etp-aktiv.ru/catalog/materialy/metalloprodukciya/2000014890-U411/","Открыть позицию")</x:f>
        <x:v>Открыть позицию</x:v>
      </x:c>
    </x:row>
    <x:row r="266" ht="28" customHeight="1">
      <x:c r="A266" s="16" t="str">
        <x:v>Ново-Кемеровская ТЭЦ</x:v>
      </x:c>
      <x:c r="B266" s="16" t="str">
        <x:v>2000014894-U411</x:v>
      </x:c>
      <x:c r="C266" s="16" t="str">
        <x:v>КРУГ СТ3 D60ММ ГОСТ2590-2006</x:v>
      </x:c>
      <x:c r="D266" s="16" t="str">
        <x:v>Металлопрокат черный</x:v>
      </x:c>
      <x:c r="E266" s="16" t="str">
        <x:v>Т</x:v>
      </x:c>
      <x:c r="F266" s="30" t="n">
        <x:v>0.012</x:v>
      </x:c>
      <x:c r="G266" s="17" t="n">
        <x:v>32136.386</x:v>
      </x:c>
      <x:c r="H266" s="17" t="n">
        <x:f>G266*F266</x:f>
        <x:v>385.63663199999996</x:v>
      </x:c>
      <x:c r="I266" s="22" t="str">
        <x:f>HYPERLINK("https://etp-aktiv.ru/catalog/materialy/metalloprodukciya/2000014894-U411/","Открыть позицию")</x:f>
        <x:v>Открыть позицию</x:v>
      </x:c>
    </x:row>
    <x:row r="267" ht="28" customHeight="1">
      <x:c r="A267" s="16" t="str">
        <x:v>Ново-Кемеровская ТЭЦ</x:v>
      </x:c>
      <x:c r="B267" s="16" t="str">
        <x:v>2000555766-U411</x:v>
      </x:c>
      <x:c r="C267" s="16" t="str">
        <x:v>КРУГ СТ35 D140ММ ГОСТ2590-2006</x:v>
      </x:c>
      <x:c r="D267" s="16" t="str">
        <x:v>Металлопрокат черный</x:v>
      </x:c>
      <x:c r="E267" s="16" t="str">
        <x:v>Т</x:v>
      </x:c>
      <x:c r="F267" s="29" t="n">
        <x:v>2.188</x:v>
      </x:c>
      <x:c r="G267" s="17" t="n">
        <x:v>31417.135</x:v>
      </x:c>
      <x:c r="H267" s="17" t="n">
        <x:f>G267*F267</x:f>
        <x:v>68740.69138</x:v>
      </x:c>
      <x:c r="I267" s="22" t="str">
        <x:f>HYPERLINK("https://etp-aktiv.ru/catalog/materialy/metalloprodukciya/2000555766-U411/","Открыть позицию")</x:f>
        <x:v>Открыть позицию</x:v>
      </x:c>
    </x:row>
    <x:row r="268" ht="28" customHeight="1">
      <x:c r="A268" s="16" t="str">
        <x:v>Ново-Кемеровская ТЭЦ</x:v>
      </x:c>
      <x:c r="B268" s="16" t="str">
        <x:v>2000555767-U411</x:v>
      </x:c>
      <x:c r="C268" s="16" t="str">
        <x:v>КРУГ СТ35 D150ММ ГОСТ2590-2006</x:v>
      </x:c>
      <x:c r="D268" s="16" t="str">
        <x:v>Металлопрокат черный</x:v>
      </x:c>
      <x:c r="E268" s="16" t="str">
        <x:v>Т</x:v>
      </x:c>
      <x:c r="F268" s="29" t="n">
        <x:v>1.283</x:v>
      </x:c>
      <x:c r="G268" s="17" t="n">
        <x:v>55854.674399999996</x:v>
      </x:c>
      <x:c r="H268" s="17" t="n">
        <x:f>G268*F268</x:f>
        <x:v>71661.54725519998</x:v>
      </x:c>
      <x:c r="I268" s="22" t="str">
        <x:f>HYPERLINK("https://etp-aktiv.ru/catalog/materialy/metalloprodukciya/2000555767-U411/","Открыть позицию")</x:f>
        <x:v>Открыть позицию</x:v>
      </x:c>
    </x:row>
    <x:row r="269" ht="28" customHeight="1">
      <x:c r="A269" s="16" t="str">
        <x:v>Ново-Кемеровская ТЭЦ</x:v>
      </x:c>
      <x:c r="B269" s="16" t="str">
        <x:v>2000570020-U411</x:v>
      </x:c>
      <x:c r="C269" s="16" t="str">
        <x:v>КРУГ СТ35 D160ММ ГОСТ2590-2006</x:v>
      </x:c>
      <x:c r="D269" s="16" t="str">
        <x:v>Металлопрокат черный</x:v>
      </x:c>
      <x:c r="E269" s="16" t="str">
        <x:v>Т</x:v>
      </x:c>
      <x:c r="F269" s="30" t="n">
        <x:v>0.914</x:v>
      </x:c>
      <x:c r="G269" s="17" t="n">
        <x:v>54900</x:v>
      </x:c>
      <x:c r="H269" s="17" t="n">
        <x:f>G269*F269</x:f>
        <x:v>50178.6</x:v>
      </x:c>
      <x:c r="I269" s="22" t="str">
        <x:f>HYPERLINK("https://etp-aktiv.ru/catalog/materialy/metalloprodukciya/2000570020-U411/","Открыть позицию")</x:f>
        <x:v>Открыть позицию</x:v>
      </x:c>
    </x:row>
    <x:row r="270" ht="28" customHeight="1">
      <x:c r="A270" s="16" t="str">
        <x:v>Ново-Кемеровская ТЭЦ</x:v>
      </x:c>
      <x:c r="B270" s="16" t="str">
        <x:v>2000555773-U411</x:v>
      </x:c>
      <x:c r="C270" s="16" t="str">
        <x:v>КРУГ СТ35 D170ММ ГОСТ2590-2006</x:v>
      </x:c>
      <x:c r="D270" s="16" t="str">
        <x:v>Металлопрокат черный</x:v>
      </x:c>
      <x:c r="E270" s="16" t="str">
        <x:v>Т</x:v>
      </x:c>
      <x:c r="F270" s="30" t="n">
        <x:v>0.855</x:v>
      </x:c>
      <x:c r="G270" s="17" t="n">
        <x:v>64825.0904</x:v>
      </x:c>
      <x:c r="H270" s="17" t="n">
        <x:f>G270*F270</x:f>
        <x:v>55425.452292</x:v>
      </x:c>
      <x:c r="I270" s="22" t="str">
        <x:f>HYPERLINK("https://etp-aktiv.ru/catalog/materialy/metalloprodukciya/2000555773-U411/","Открыть позицию")</x:f>
        <x:v>Открыть позицию</x:v>
      </x:c>
    </x:row>
    <x:row r="271" ht="28" customHeight="1">
      <x:c r="A271" s="16" t="str">
        <x:v>Ново-Кемеровская ТЭЦ</x:v>
      </x:c>
      <x:c r="B271" s="16" t="str">
        <x:v>2000014943-U411</x:v>
      </x:c>
      <x:c r="C271" s="16" t="str">
        <x:v>КРУГ СТ35 D20ММ ГОСТ1050-88</x:v>
      </x:c>
      <x:c r="D271" s="16" t="str">
        <x:v>Металлопрокат черный</x:v>
      </x:c>
      <x:c r="E271" s="16" t="str">
        <x:v>Т</x:v>
      </x:c>
      <x:c r="F271" s="30" t="n">
        <x:v>0.09</x:v>
      </x:c>
      <x:c r="G271" s="17" t="n">
        <x:v>51468.75</x:v>
      </x:c>
      <x:c r="H271" s="17" t="n">
        <x:f>G271*F271</x:f>
        <x:v>4632.1875</x:v>
      </x:c>
      <x:c r="I271" s="22" t="str">
        <x:f>HYPERLINK("https://etp-aktiv.ru/catalog/materialy/metalloprodukciya/2000014943-U411/","Открыть позицию")</x:f>
        <x:v>Открыть позицию</x:v>
      </x:c>
    </x:row>
    <x:row r="272" ht="28" customHeight="1">
      <x:c r="A272" s="16" t="str">
        <x:v>Ново-Кемеровская ТЭЦ</x:v>
      </x:c>
      <x:c r="B272" s="16" t="str">
        <x:v>2000570049-U411</x:v>
      </x:c>
      <x:c r="C272" s="16" t="str">
        <x:v>КРУГ СТ3КП 14 ГОСТ535-2005</x:v>
      </x:c>
      <x:c r="D272" s="16" t="str">
        <x:v>Металлопрокат черный</x:v>
      </x:c>
      <x:c r="E272" s="16" t="str">
        <x:v>Т</x:v>
      </x:c>
      <x:c r="F272" s="30" t="n">
        <x:v>0.1</x:v>
      </x:c>
      <x:c r="G272" s="17" t="n">
        <x:v>48193.757600000004</x:v>
      </x:c>
      <x:c r="H272" s="17" t="n">
        <x:f>G272*F272</x:f>
        <x:v>4819.375760000001</x:v>
      </x:c>
      <x:c r="I272" s="22" t="str">
        <x:f>HYPERLINK("https://etp-aktiv.ru/catalog/materialy/metalloprodukciya/2000570049-U411/","Открыть позицию")</x:f>
        <x:v>Открыть позицию</x:v>
      </x:c>
    </x:row>
    <x:row r="273" ht="28" customHeight="1">
      <x:c r="A273" s="16" t="str">
        <x:v>Ново-Кемеровская ТЭЦ</x:v>
      </x:c>
      <x:c r="B273" s="16" t="str">
        <x:v>2000484149-U411</x:v>
      </x:c>
      <x:c r="C273" s="16" t="str">
        <x:v>КРУГ СТ3ПС 18ММ ГОСТ2590-06</x:v>
      </x:c>
      <x:c r="D273" s="16" t="str">
        <x:v>Металлопрокат черный</x:v>
      </x:c>
      <x:c r="E273" s="16" t="str">
        <x:v>Т</x:v>
      </x:c>
      <x:c r="F273" s="30" t="n">
        <x:v>0.15</x:v>
      </x:c>
      <x:c r="G273" s="17" t="n">
        <x:v>48037.5</x:v>
      </x:c>
      <x:c r="H273" s="17" t="n">
        <x:f>G273*F273</x:f>
        <x:v>7205.625</x:v>
      </x:c>
      <x:c r="I273" s="22" t="str">
        <x:f>HYPERLINK("https://etp-aktiv.ru/catalog/materialy/metalloprodukciya/2000484149-U411/","Открыть позицию")</x:f>
        <x:v>Открыть позицию</x:v>
      </x:c>
    </x:row>
    <x:row r="274" ht="28" customHeight="1">
      <x:c r="A274" s="16" t="str">
        <x:v>Ново-Кемеровская ТЭЦ</x:v>
      </x:c>
      <x:c r="B274" s="16" t="str">
        <x:v>2000555776-U411</x:v>
      </x:c>
      <x:c r="C274" s="16" t="str">
        <x:v>КРУГ СТ3ПС5 D18ММ ГОСТ2590-2006</x:v>
      </x:c>
      <x:c r="D274" s="16" t="str">
        <x:v>Металлопрокат черный</x:v>
      </x:c>
      <x:c r="E274" s="16" t="str">
        <x:v>Т</x:v>
      </x:c>
      <x:c r="F274" s="30" t="n">
        <x:v>0.271</x:v>
      </x:c>
      <x:c r="G274" s="17" t="n">
        <x:v>24147.5576</x:v>
      </x:c>
      <x:c r="H274" s="17" t="n">
        <x:f>G274*F274</x:f>
        <x:v>6543.988109600001</x:v>
      </x:c>
      <x:c r="I274" s="22" t="str">
        <x:f>HYPERLINK("https://etp-aktiv.ru/catalog/materialy/metalloprodukciya/2000555776-U411/","Открыть позицию")</x:f>
        <x:v>Открыть позицию</x:v>
      </x:c>
    </x:row>
    <x:row r="275" ht="28" customHeight="1">
      <x:c r="A275" s="16" t="str">
        <x:v>Ново-Кемеровская ТЭЦ</x:v>
      </x:c>
      <x:c r="B275" s="16" t="str">
        <x:v>2000164850-U411</x:v>
      </x:c>
      <x:c r="C275" s="16" t="str">
        <x:v>КРУГ СТ3СП3 D32ММ ГОСТ2590-2006</x:v>
      </x:c>
      <x:c r="D275" s="16" t="str">
        <x:v>Металлопрокат черный</x:v>
      </x:c>
      <x:c r="E275" s="16" t="str">
        <x:v>Т</x:v>
      </x:c>
      <x:c r="F275" s="30" t="n">
        <x:v>0.029</x:v>
      </x:c>
      <x:c r="G275" s="17" t="n">
        <x:v>31624.766799999998</x:v>
      </x:c>
      <x:c r="H275" s="17" t="n">
        <x:f>G275*F275</x:f>
        <x:v>917.1182372</x:v>
      </x:c>
      <x:c r="I275" s="22" t="str">
        <x:f>HYPERLINK("https://etp-aktiv.ru/catalog/materialy/metalloprodukciya/2000164850-U411/","Открыть позицию")</x:f>
        <x:v>Открыть позицию</x:v>
      </x:c>
    </x:row>
    <x:row r="276" ht="28" customHeight="1">
      <x:c r="A276" s="16" t="str">
        <x:v>Ново-Кемеровская ТЭЦ</x:v>
      </x:c>
      <x:c r="B276" s="16" t="str">
        <x:v>2000147425-U411</x:v>
      </x:c>
      <x:c r="C276" s="16" t="str">
        <x:v>КРУГ СТ3СП5 D16ММ ГОСТ2590-2006</x:v>
      </x:c>
      <x:c r="D276" s="16" t="str">
        <x:v>Металлопрокат черный</x:v>
      </x:c>
      <x:c r="E276" s="16" t="str">
        <x:v>Т</x:v>
      </x:c>
      <x:c r="F276" s="30" t="n">
        <x:v>0.12</x:v>
      </x:c>
      <x:c r="G276" s="17" t="n">
        <x:v>14802.2356</x:v>
      </x:c>
      <x:c r="H276" s="17" t="n">
        <x:f>G276*F276</x:f>
        <x:v>1776.268272</x:v>
      </x:c>
      <x:c r="I276" s="22" t="str">
        <x:f>HYPERLINK("https://etp-aktiv.ru/catalog/materialy/metalloprodukciya/2000147425-U411/","Открыть позицию")</x:f>
        <x:v>Открыть позицию</x:v>
      </x:c>
    </x:row>
    <x:row r="277" ht="28" customHeight="1">
      <x:c r="A277" s="16" t="str">
        <x:v>Ново-Кемеровская ТЭЦ</x:v>
      </x:c>
      <x:c r="B277" s="16" t="str">
        <x:v>2000147426-U411</x:v>
      </x:c>
      <x:c r="C277" s="16" t="str">
        <x:v>КРУГ СТ3СП5 D20ММ ГОСТ2590-2006</x:v>
      </x:c>
      <x:c r="D277" s="16" t="str">
        <x:v>Металлопрокат черный</x:v>
      </x:c>
      <x:c r="E277" s="16" t="str">
        <x:v>Т</x:v>
      </x:c>
      <x:c r="F277" s="30" t="n">
        <x:v>0.09</x:v>
      </x:c>
      <x:c r="G277" s="17" t="n">
        <x:v>14183.7322</x:v>
      </x:c>
      <x:c r="H277" s="17" t="n">
        <x:f>G277*F277</x:f>
        <x:v>1276.535898</x:v>
      </x:c>
      <x:c r="I277" s="22" t="str">
        <x:f>HYPERLINK("https://etp-aktiv.ru/catalog/materialy/metalloprodukciya/2000147426-U411/","Открыть позицию")</x:f>
        <x:v>Открыть позицию</x:v>
      </x:c>
    </x:row>
    <x:row r="278" ht="28" customHeight="1">
      <x:c r="A278" s="16" t="str">
        <x:v>Ново-Кемеровская ТЭЦ</x:v>
      </x:c>
      <x:c r="B278" s="16" t="str">
        <x:v>2000015117-U411</x:v>
      </x:c>
      <x:c r="C278" s="16" t="str">
        <x:v>КРУГ СТ40Х D160ММ ГОСТ4543-2016</x:v>
      </x:c>
      <x:c r="D278" s="16" t="str">
        <x:v>Металлопрокат черный</x:v>
      </x:c>
      <x:c r="E278" s="16" t="str">
        <x:v>Т</x:v>
      </x:c>
      <x:c r="F278" s="30" t="n">
        <x:v>0.27</x:v>
      </x:c>
      <x:c r="G278" s="17" t="n">
        <x:v>19970.1922</x:v>
      </x:c>
      <x:c r="H278" s="17" t="n">
        <x:f>G278*F278</x:f>
        <x:v>5391.951894000001</x:v>
      </x:c>
      <x:c r="I278" s="22" t="str">
        <x:f>HYPERLINK("https://etp-aktiv.ru/catalog/materialy/metalloprodukciya/2000015117-U411/","Открыть позицию")</x:f>
        <x:v>Открыть позицию</x:v>
      </x:c>
    </x:row>
    <x:row r="279" ht="28" customHeight="1">
      <x:c r="A279" s="16" t="str">
        <x:v>Ново-Кемеровская ТЭЦ</x:v>
      </x:c>
      <x:c r="B279" s="16" t="str">
        <x:v>2000015671-U411</x:v>
      </x:c>
      <x:c r="C279" s="16" t="str">
        <x:v>КРУГ СТ40Х D30ММ ГОСТ4543-71</x:v>
      </x:c>
      <x:c r="D279" s="16" t="str">
        <x:v>Металлопрокат черный</x:v>
      </x:c>
      <x:c r="E279" s="16" t="str">
        <x:v>Т</x:v>
      </x:c>
      <x:c r="F279" s="30" t="n">
        <x:v>0.033</x:v>
      </x:c>
      <x:c r="G279" s="17" t="n">
        <x:v>64164.375</x:v>
      </x:c>
      <x:c r="H279" s="17" t="n">
        <x:f>G279*F279</x:f>
        <x:v>2117.424375</x:v>
      </x:c>
      <x:c r="I279" s="22" t="str">
        <x:f>HYPERLINK("https://etp-aktiv.ru/catalog/materialy/metalloprodukciya/2000015671-U411/","Открыть позицию")</x:f>
        <x:v>Открыть позицию</x:v>
      </x:c>
    </x:row>
    <x:row r="280" ht="28" customHeight="1">
      <x:c r="A280" s="16" t="str">
        <x:v>Ново-Кемеровская ТЭЦ</x:v>
      </x:c>
      <x:c r="B280" s="16" t="str">
        <x:v>2000014954-U411</x:v>
      </x:c>
      <x:c r="C280" s="16" t="str">
        <x:v>КРУГ СТ45 D130ММ ГОСТ1050-88</x:v>
      </x:c>
      <x:c r="D280" s="16" t="str">
        <x:v>Металлопрокат черный</x:v>
      </x:c>
      <x:c r="E280" s="16" t="str">
        <x:v>Т</x:v>
      </x:c>
      <x:c r="F280" s="29" t="n">
        <x:v>2.825</x:v>
      </x:c>
      <x:c r="G280" s="17" t="n">
        <x:v>37696.3286</x:v>
      </x:c>
      <x:c r="H280" s="17" t="n">
        <x:f>G280*F280</x:f>
        <x:v>106492.128295</x:v>
      </x:c>
      <x:c r="I280" s="22" t="str">
        <x:f>HYPERLINK("https://etp-aktiv.ru/catalog/materialy/metalloprodukciya/2000014954-U411/","Открыть позицию")</x:f>
        <x:v>Открыть позицию</x:v>
      </x:c>
    </x:row>
    <x:row r="281" ht="28" customHeight="1">
      <x:c r="A281" s="16" t="str">
        <x:v>Ново-Кемеровская ТЭЦ</x:v>
      </x:c>
      <x:c r="B281" s="16" t="str">
        <x:v>2000014901-U411</x:v>
      </x:c>
      <x:c r="C281" s="16" t="str">
        <x:v>КРУГ СТ45 D200ММ ГОСТ1050-88</x:v>
      </x:c>
      <x:c r="D281" s="16" t="str">
        <x:v>Металлопрокат черный</x:v>
      </x:c>
      <x:c r="E281" s="16" t="str">
        <x:v>Т</x:v>
      </x:c>
      <x:c r="F281" s="29" t="n">
        <x:v>2.206</x:v>
      </x:c>
      <x:c r="G281" s="17" t="n">
        <x:v>57950</x:v>
      </x:c>
      <x:c r="H281" s="17" t="n">
        <x:f>G281*F281</x:f>
        <x:v>127837.7</x:v>
      </x:c>
      <x:c r="I281" s="22" t="str">
        <x:f>HYPERLINK("https://etp-aktiv.ru/catalog/materialy/metalloprodukciya/2000014901-U411/","Открыть позицию")</x:f>
        <x:v>Открыть позицию</x:v>
      </x:c>
    </x:row>
    <x:row r="282" ht="28" customHeight="1">
      <x:c r="A282" s="16" t="str">
        <x:v>Ново-Кемеровская ТЭЦ</x:v>
      </x:c>
      <x:c r="B282" s="16" t="str">
        <x:v>2000754916-U411</x:v>
      </x:c>
      <x:c r="C282" s="16" t="str">
        <x:v>КРУГ СТ45 D20ММ ГОСТ2590-2006</x:v>
      </x:c>
      <x:c r="D282" s="16" t="str">
        <x:v>Металлопрокат черный</x:v>
      </x:c>
      <x:c r="E282" s="16" t="str">
        <x:v>Т</x:v>
      </x:c>
      <x:c r="F282" s="30" t="n">
        <x:v>0.003</x:v>
      </x:c>
      <x:c r="G282" s="17" t="n">
        <x:v>56160.0038</x:v>
      </x:c>
      <x:c r="H282" s="17" t="n">
        <x:f>G282*F282</x:f>
        <x:v>168.4800114</x:v>
      </x:c>
      <x:c r="I282" s="22" t="str">
        <x:f>HYPERLINK("https://etp-aktiv.ru/catalog/materialy/metalloprodukciya/2000754916-U411/","Открыть позицию")</x:f>
        <x:v>Открыть позицию</x:v>
      </x:c>
    </x:row>
    <x:row r="283" ht="28" customHeight="1">
      <x:c r="A283" s="16" t="str">
        <x:v>Ново-Кемеровская ТЭЦ</x:v>
      </x:c>
      <x:c r="B283" s="16" t="str">
        <x:v>2000189507-U411</x:v>
      </x:c>
      <x:c r="C283" s="16" t="str">
        <x:v>КРУГ СТ45 D210ММ ГОСТ2590-2006</x:v>
      </x:c>
      <x:c r="D283" s="16" t="str">
        <x:v>Металлопрокат черный</x:v>
      </x:c>
      <x:c r="E283" s="16" t="str">
        <x:v>Т</x:v>
      </x:c>
      <x:c r="F283" s="29" t="n">
        <x:v>3.607</x:v>
      </x:c>
      <x:c r="G283" s="17" t="n">
        <x:v>42493.978599999995</x:v>
      </x:c>
      <x:c r="H283" s="17" t="n">
        <x:f>G283*F283</x:f>
        <x:v>153275.7808102</x:v>
      </x:c>
      <x:c r="I283" s="22" t="str">
        <x:f>HYPERLINK("https://etp-aktiv.ru/catalog/materialy/metalloprodukciya/2000189507-U411/","Открыть позицию")</x:f>
        <x:v>Открыть позицию</x:v>
      </x:c>
    </x:row>
    <x:row r="284" ht="28" customHeight="1">
      <x:c r="A284" s="16" t="str">
        <x:v>Ново-Кемеровская ТЭЦ</x:v>
      </x:c>
      <x:c r="B284" s="16" t="str">
        <x:v>2000015007-U411</x:v>
      </x:c>
      <x:c r="C284" s="16" t="str">
        <x:v>КРУГ СТ45 D25ММ ГОСТ1050-88</x:v>
      </x:c>
      <x:c r="D284" s="16" t="str">
        <x:v>Металлопрокат черный</x:v>
      </x:c>
      <x:c r="E284" s="16" t="str">
        <x:v>Т</x:v>
      </x:c>
      <x:c r="F284" s="30" t="n">
        <x:v>0.723</x:v>
      </x:c>
      <x:c r="G284" s="17" t="n">
        <x:v>37172.8022</x:v>
      </x:c>
      <x:c r="H284" s="17" t="n">
        <x:f>G284*F284</x:f>
        <x:v>26875.9359906</x:v>
      </x:c>
      <x:c r="I284" s="22" t="str">
        <x:f>HYPERLINK("https://etp-aktiv.ru/catalog/materialy/metalloprodukciya/2000015007-U411/","Открыть позицию")</x:f>
        <x:v>Открыть позицию</x:v>
      </x:c>
    </x:row>
    <x:row r="285" ht="28" customHeight="1">
      <x:c r="A285" s="16" t="str">
        <x:v>Ново-Кемеровская ТЭЦ</x:v>
      </x:c>
      <x:c r="B285" s="16" t="str">
        <x:v>2000014908-U411</x:v>
      </x:c>
      <x:c r="C285" s="16" t="str">
        <x:v>КРУГ СТ45 D45ММ ГОСТ1050-88</x:v>
      </x:c>
      <x:c r="D285" s="16" t="str">
        <x:v>Металлопрокат черный</x:v>
      </x:c>
      <x:c r="E285" s="16" t="str">
        <x:v>Т</x:v>
      </x:c>
      <x:c r="F285" s="30" t="n">
        <x:v>0.006</x:v>
      </x:c>
      <x:c r="G285" s="17" t="n">
        <x:v>77775</x:v>
      </x:c>
      <x:c r="H285" s="17" t="n">
        <x:f>G285*F285</x:f>
        <x:v>466.65000000000003</x:v>
      </x:c>
      <x:c r="I285" s="22" t="str">
        <x:f>HYPERLINK("https://etp-aktiv.ru/catalog/materialy/metalloprodukciya/2000014908-U411/","Открыть позицию")</x:f>
        <x:v>Открыть позицию</x:v>
      </x:c>
    </x:row>
    <x:row r="286" ht="28" customHeight="1">
      <x:c r="A286" s="16" t="str">
        <x:v>Ново-Кемеровская ТЭЦ</x:v>
      </x:c>
      <x:c r="B286" s="16" t="str">
        <x:v>2000555506-U411</x:v>
      </x:c>
      <x:c r="C286" s="16" t="str">
        <x:v>ЛЕНТА 12Х18Н10Т 0,05*405 ГОСТ4986-79</x:v>
      </x:c>
      <x:c r="D286" s="16" t="str">
        <x:v>Металлопрокат из нержавеющей стали</x:v>
      </x:c>
      <x:c r="E286" s="16" t="str">
        <x:v>КГ</x:v>
      </x:c>
      <x:c r="F286" s="21" t="n">
        <x:v>2</x:v>
      </x:c>
      <x:c r="G286" s="17" t="n">
        <x:v>2459.0564</x:v>
      </x:c>
      <x:c r="H286" s="17" t="n">
        <x:f>G286*F286</x:f>
        <x:v>4918.1128</x:v>
      </x:c>
      <x:c r="I286" s="22" t="str">
        <x:f>HYPERLINK("https://etp-aktiv.ru/catalog/materialy/metalloprodukciya/2000555506-U411/","Открыть позицию")</x:f>
        <x:v>Открыть позицию</x:v>
      </x:c>
    </x:row>
    <x:row r="287" ht="28" customHeight="1">
      <x:c r="A287" s="16" t="str">
        <x:v>Ново-Кемеровская ТЭЦ</x:v>
      </x:c>
      <x:c r="B287" s="16" t="str">
        <x:v>2000555512-U411</x:v>
      </x:c>
      <x:c r="C287" s="16" t="str">
        <x:v>ЛЕНТА 12Х18Н10Т 0,15*405 ГОСТ4986-79</x:v>
      </x:c>
      <x:c r="D287" s="16" t="str">
        <x:v>Металлопрокат из нержавеющей стали</x:v>
      </x:c>
      <x:c r="E287" s="16" t="str">
        <x:v>КГ</x:v>
      </x:c>
      <x:c r="F287" s="21" t="n">
        <x:v>3</x:v>
      </x:c>
      <x:c r="G287" s="17" t="n">
        <x:v>1715.625</x:v>
      </x:c>
      <x:c r="H287" s="17" t="n">
        <x:f>G287*F287</x:f>
        <x:v>5146.875</x:v>
      </x:c>
      <x:c r="I287" s="22" t="str">
        <x:f>HYPERLINK("https://etp-aktiv.ru/catalog/materialy/metalloprodukciya/2000555512-U411/","Открыть позицию")</x:f>
        <x:v>Открыть позицию</x:v>
      </x:c>
    </x:row>
    <x:row r="288" ht="28" customHeight="1">
      <x:c r="A288" s="16" t="str">
        <x:v>Ново-Кемеровская ТЭЦ</x:v>
      </x:c>
      <x:c r="B288" s="16" t="str">
        <x:v>2000555847-U411</x:v>
      </x:c>
      <x:c r="C288" s="16" t="str">
        <x:v>ЛЕНТА СТ3 3*30 ГОСТ6009-74</x:v>
      </x:c>
      <x:c r="D288" s="16" t="str">
        <x:v>Металлопрокат прочий</x:v>
      </x:c>
      <x:c r="E288" s="16" t="str">
        <x:v>КГ</x:v>
      </x:c>
      <x:c r="F288" s="21" t="n">
        <x:v>10</x:v>
      </x:c>
      <x:c r="G288" s="17" t="n">
        <x:v>1322.175</x:v>
      </x:c>
      <x:c r="H288" s="17" t="n">
        <x:f>G288*F288</x:f>
        <x:v>13221.75</x:v>
      </x:c>
      <x:c r="I288" s="22" t="str">
        <x:f>HYPERLINK("https://etp-aktiv.ru/catalog/materialy/metalloprodukciya/2000555847-U411/","Открыть позицию")</x:f>
        <x:v>Открыть позицию</x:v>
      </x:c>
    </x:row>
    <x:row r="289" ht="28" customHeight="1">
      <x:c r="A289" s="16" t="str">
        <x:v>Ново-Кемеровская ТЭЦ</x:v>
      </x:c>
      <x:c r="B289" s="16" t="str">
        <x:v>2000067715-U411</x:v>
      </x:c>
      <x:c r="C289" s="16" t="str">
        <x:v>ЛИСТ 12Х18Н10Т 16ММ ГОСТ7350-77</x:v>
      </x:c>
      <x:c r="D289" s="16" t="str">
        <x:v>Металлопрокат из нержавеющей стали</x:v>
      </x:c>
      <x:c r="E289" s="16" t="str">
        <x:v>Т</x:v>
      </x:c>
      <x:c r="F289" s="30" t="n">
        <x:v>0.094</x:v>
      </x:c>
      <x:c r="G289" s="17" t="n">
        <x:v>157010.889</x:v>
      </x:c>
      <x:c r="H289" s="17" t="n">
        <x:f>G289*F289</x:f>
        <x:v>14759.023566</x:v>
      </x:c>
      <x:c r="I289" s="22" t="str">
        <x:f>HYPERLINK("https://etp-aktiv.ru/catalog/materialy/metalloprodukciya/2000067715-U411/","Открыть позицию")</x:f>
        <x:v>Открыть позицию</x:v>
      </x:c>
    </x:row>
    <x:row r="290" ht="28" customHeight="1">
      <x:c r="A290" s="16" t="str">
        <x:v>Ново-Кемеровская ТЭЦ</x:v>
      </x:c>
      <x:c r="B290" s="16" t="str">
        <x:v>2000620993-U411</x:v>
      </x:c>
      <x:c r="C290" s="16" t="str">
        <x:v>ЛИСТ АМГ2М 600*5600*2ММ ГОСТ21631-76</x:v>
      </x:c>
      <x:c r="D290" s="16" t="str">
        <x:v>Металлопрокат цветной</x:v>
      </x:c>
      <x:c r="E290" s="16" t="str">
        <x:v>ШТ</x:v>
      </x:c>
      <x:c r="F290" s="21" t="n">
        <x:v>19</x:v>
      </x:c>
      <x:c r="G290" s="17" t="n">
        <x:v>3885.7</x:v>
      </x:c>
      <x:c r="H290" s="17" t="n">
        <x:f>G290*F290</x:f>
        <x:v>73828.3</x:v>
      </x:c>
      <x:c r="I290" s="22" t="str">
        <x:f>HYPERLINK("https://etp-aktiv.ru/catalog/materialy/metalloprodukciya/2000620993-U411/","Открыть позицию")</x:f>
        <x:v>Открыть позицию</x:v>
      </x:c>
    </x:row>
    <x:row r="291" ht="28" customHeight="1">
      <x:c r="A291" s="16" t="str">
        <x:v>Ново-Кемеровская ТЭЦ</x:v>
      </x:c>
      <x:c r="B291" s="16" t="str">
        <x:v>2000618420-U411</x:v>
      </x:c>
      <x:c r="C291" s="16" t="str">
        <x:v>ЛИСТ АМГ2М НС44-1000-1,2 L=5600 ГОСТ2404</x:v>
      </x:c>
      <x:c r="D291" s="16" t="str">
        <x:v>Металлопрокат цветной</x:v>
      </x:c>
      <x:c r="E291" s="16" t="str">
        <x:v>М2</x:v>
      </x:c>
      <x:c r="F291" s="21" t="n">
        <x:v>30</x:v>
      </x:c>
      <x:c r="G291" s="17" t="n">
        <x:v>875.35</x:v>
      </x:c>
      <x:c r="H291" s="17" t="n">
        <x:f>G291*F291</x:f>
        <x:v>26260.5</x:v>
      </x:c>
      <x:c r="I291" s="22" t="str">
        <x:f>HYPERLINK("https://etp-aktiv.ru/catalog/materialy/metalloprodukciya/2000618420-U411/","Открыть позицию")</x:f>
        <x:v>Открыть позицию</x:v>
      </x:c>
    </x:row>
    <x:row r="292" ht="28" customHeight="1">
      <x:c r="A292" s="16" t="str">
        <x:v>Ново-Кемеровская ТЭЦ</x:v>
      </x:c>
      <x:c r="B292" s="16" t="str">
        <x:v>2000570009-U411</x:v>
      </x:c>
      <x:c r="C292" s="16" t="str">
        <x:v>ЛИСТ АН/АМГ2.М 2*1200*7000 ГОСТ21631-76</x:v>
      </x:c>
      <x:c r="D292" s="16" t="str">
        <x:v>Металлопрокат цветной</x:v>
      </x:c>
      <x:c r="E292" s="16" t="str">
        <x:v>КГ</x:v>
      </x:c>
      <x:c r="F292" s="21" t="n">
        <x:v>84</x:v>
      </x:c>
      <x:c r="G292" s="17" t="n">
        <x:v>213.5</x:v>
      </x:c>
      <x:c r="H292" s="17" t="n">
        <x:f>G292*F292</x:f>
        <x:v>17934</x:v>
      </x:c>
      <x:c r="I292" s="22" t="str">
        <x:f>HYPERLINK("https://etp-aktiv.ru/catalog/materialy/metalloprodukciya/2000570009-U411/","Открыть позицию")</x:f>
        <x:v>Открыть позицию</x:v>
      </x:c>
    </x:row>
    <x:row r="293" ht="28" customHeight="1">
      <x:c r="A293" s="16" t="str">
        <x:v>Ново-Кемеровская ТЭЦ</x:v>
      </x:c>
      <x:c r="B293" s="16" t="str">
        <x:v>2000360302-U411</x:v>
      </x:c>
      <x:c r="C293" s="16" t="str">
        <x:v>ЛИСТ Г/К 17Г1С 16*1500*6000 ГОСТ19903-74</x:v>
      </x:c>
      <x:c r="D293" s="16" t="str">
        <x:v>Металлопрокат черный</x:v>
      </x:c>
      <x:c r="E293" s="16" t="str">
        <x:v>Т</x:v>
      </x:c>
      <x:c r="F293" s="29" t="n">
        <x:v>1.137</x:v>
      </x:c>
      <x:c r="G293" s="17" t="n">
        <x:v>43176.5686</x:v>
      </x:c>
      <x:c r="H293" s="17" t="n">
        <x:f>G293*F293</x:f>
        <x:v>49091.7584982</x:v>
      </x:c>
      <x:c r="I293" s="22" t="str">
        <x:f>HYPERLINK("https://etp-aktiv.ru/catalog/materialy/metalloprodukciya/2000360302-U411/","Открыть позицию")</x:f>
        <x:v>Открыть позицию</x:v>
      </x:c>
    </x:row>
    <x:row r="294" ht="28" customHeight="1">
      <x:c r="A294" s="16" t="str">
        <x:v>Ново-Кемеровская ТЭЦ</x:v>
      </x:c>
      <x:c r="B294" s="16" t="str">
        <x:v>2000015591-U411</x:v>
      </x:c>
      <x:c r="C294" s="16" t="str">
        <x:v>ЛИСТ Г/К СТ3 50ММ ГОСТ14637-89</x:v>
      </x:c>
      <x:c r="D294" s="16" t="str">
        <x:v>Металлопрокат черный</x:v>
      </x:c>
      <x:c r="E294" s="16" t="str">
        <x:v>Т</x:v>
      </x:c>
      <x:c r="F294" s="30" t="n">
        <x:v>0.125</x:v>
      </x:c>
      <x:c r="G294" s="17" t="n">
        <x:v>91071.08459999999</x:v>
      </x:c>
      <x:c r="H294" s="17" t="n">
        <x:f>G294*F294</x:f>
        <x:v>11383.885574999998</x:v>
      </x:c>
      <x:c r="I294" s="22" t="str">
        <x:f>HYPERLINK("https://etp-aktiv.ru/catalog/materialy/metalloprodukciya/2000015591-U411/","Открыть позицию")</x:f>
        <x:v>Открыть позицию</x:v>
      </x:c>
    </x:row>
    <x:row r="295" ht="28" customHeight="1">
      <x:c r="A295" s="16" t="str">
        <x:v>Ново-Кемеровская ТЭЦ</x:v>
      </x:c>
      <x:c r="B295" s="16" t="str">
        <x:v>2000139962-U411</x:v>
      </x:c>
      <x:c r="C295" s="16" t="str">
        <x:v>ЛИСТ Г/К СТ3 50ММ ГОСТ19903-74</x:v>
      </x:c>
      <x:c r="D295" s="16" t="str">
        <x:v>Металлопрокат черный</x:v>
      </x:c>
      <x:c r="E295" s="16" t="str">
        <x:v>Т</x:v>
      </x:c>
      <x:c r="F295" s="30" t="n">
        <x:v>0.067</x:v>
      </x:c>
      <x:c r="G295" s="17" t="n">
        <x:v>57950</x:v>
      </x:c>
      <x:c r="H295" s="17" t="n">
        <x:f>G295*F295</x:f>
        <x:v>3882.65</x:v>
      </x:c>
      <x:c r="I295" s="22" t="str">
        <x:f>HYPERLINK("https://etp-aktiv.ru/catalog/materialy/metalloprodukciya/2000139962-U411/","Открыть позицию")</x:f>
        <x:v>Открыть позицию</x:v>
      </x:c>
    </x:row>
    <x:row r="296" ht="28" customHeight="1">
      <x:c r="A296" s="16" t="str">
        <x:v>Ново-Кемеровская ТЭЦ</x:v>
      </x:c>
      <x:c r="B296" s="16" t="str">
        <x:v>2000326095-U411</x:v>
      </x:c>
      <x:c r="C296" s="16" t="str">
        <x:v>ЛИСТ ПВ СТ3 506*1250*1970 ГОСТ8706-78</x:v>
      </x:c>
      <x:c r="D296" s="16" t="str">
        <x:v>Металлопрокат черный</x:v>
      </x:c>
      <x:c r="E296" s="16" t="str">
        <x:v>Т</x:v>
      </x:c>
      <x:c r="F296" s="30" t="n">
        <x:v>0.128</x:v>
      </x:c>
      <x:c r="G296" s="17" t="n">
        <x:v>44524.998</x:v>
      </x:c>
      <x:c r="H296" s="17" t="n">
        <x:f>G296*F296</x:f>
        <x:v>5699.1997440000005</x:v>
      </x:c>
      <x:c r="I296" s="22" t="str">
        <x:f>HYPERLINK("https://etp-aktiv.ru/catalog/materialy/metalloprodukciya/2000326095-U411/","Открыть позицию")</x:f>
        <x:v>Открыть позицию</x:v>
      </x:c>
    </x:row>
    <x:row r="297" ht="28" customHeight="1">
      <x:c r="A297" s="16" t="str">
        <x:v>Ново-Кемеровская ТЭЦ</x:v>
      </x:c>
      <x:c r="B297" s="16" t="str">
        <x:v>2000548465-U411</x:v>
      </x:c>
      <x:c r="C297" s="16" t="str">
        <x:v>ЛИСТ ПВЛ 506 СТ3 13*1000*3060 ГОСТ8706</x:v>
      </x:c>
      <x:c r="D297" s="16" t="str">
        <x:v>Металлопрокат черный</x:v>
      </x:c>
      <x:c r="E297" s="16" t="str">
        <x:v>Т</x:v>
      </x:c>
      <x:c r="F297" s="30" t="n">
        <x:v>0.008</x:v>
      </x:c>
      <x:c r="G297" s="17" t="n">
        <x:v>37720.875</x:v>
      </x:c>
      <x:c r="H297" s="17" t="n">
        <x:f>G297*F297</x:f>
        <x:v>301.767</x:v>
      </x:c>
      <x:c r="I297" s="22" t="str">
        <x:f>HYPERLINK("https://etp-aktiv.ru/catalog/materialy/metalloprodukciya/2000548465-U411/","Открыть позицию")</x:f>
        <x:v>Открыть позицию</x:v>
      </x:c>
    </x:row>
    <x:row r="298" ht="28" customHeight="1">
      <x:c r="A298" s="16" t="str">
        <x:v>Ново-Кемеровская ТЭЦ</x:v>
      </x:c>
      <x:c r="B298" s="16" t="str">
        <x:v>2000276634-U411</x:v>
      </x:c>
      <x:c r="C298" s="16" t="str">
        <x:v>ЛИСТ ПВЛ 510 СТ3 ТУ36 26.11-5-89</x:v>
      </x:c>
      <x:c r="D298" s="16" t="str">
        <x:v>Металлопрокат черный</x:v>
      </x:c>
      <x:c r="E298" s="16" t="str">
        <x:v>Т</x:v>
      </x:c>
      <x:c r="F298" s="29" t="n">
        <x:v>4.627</x:v>
      </x:c>
      <x:c r="G298" s="17" t="n">
        <x:v>50630</x:v>
      </x:c>
      <x:c r="H298" s="17" t="n">
        <x:f>G298*F298</x:f>
        <x:v>234265.00999999998</x:v>
      </x:c>
      <x:c r="I298" s="22" t="str">
        <x:f>HYPERLINK("https://etp-aktiv.ru/catalog/materialy/metalloprodukciya/2000276634-U411/","Открыть позицию")</x:f>
        <x:v>Открыть позицию</x:v>
      </x:c>
    </x:row>
    <x:row r="299" ht="28" customHeight="1">
      <x:c r="A299" s="16" t="str">
        <x:v>Ново-Кемеровская ТЭЦ</x:v>
      </x:c>
      <x:c r="B299" s="16" t="str">
        <x:v>2000555954-U411</x:v>
      </x:c>
      <x:c r="C299" s="16" t="str">
        <x:v>ЛИСТ РОМБ СТ3 6*1400*6000 ГОСТ8568-77</x:v>
      </x:c>
      <x:c r="D299" s="16" t="str">
        <x:v>Металлопрокат черный</x:v>
      </x:c>
      <x:c r="E299" s="16" t="str">
        <x:v>Т</x:v>
      </x:c>
      <x:c r="F299" s="30" t="n">
        <x:v>0.144</x:v>
      </x:c>
      <x:c r="G299" s="17" t="n">
        <x:v>46633.89</x:v>
      </x:c>
      <x:c r="H299" s="17" t="n">
        <x:f>G299*F299</x:f>
        <x:v>6715.280159999999</x:v>
      </x:c>
      <x:c r="I299" s="22" t="str">
        <x:f>HYPERLINK("https://etp-aktiv.ru/catalog/materialy/metalloprodukciya/2000555954-U411/","Открыть позицию")</x:f>
        <x:v>Открыть позицию</x:v>
      </x:c>
    </x:row>
    <x:row r="300" ht="28" customHeight="1">
      <x:c r="A300" s="16" t="str">
        <x:v>Ново-Кемеровская ТЭЦ</x:v>
      </x:c>
      <x:c r="B300" s="16" t="str">
        <x:v>2000555982-U411</x:v>
      </x:c>
      <x:c r="C300" s="16" t="str">
        <x:v>ЛИСТ СТ3СП ПВ1 510 1000*2500 ГОСТ380-05</x:v>
      </x:c>
      <x:c r="D300" s="16" t="str">
        <x:v>Металлопрокат черный</x:v>
      </x:c>
      <x:c r="E300" s="16" t="str">
        <x:v>Т</x:v>
      </x:c>
      <x:c r="F300" s="29" t="n">
        <x:v>2.015</x:v>
      </x:c>
      <x:c r="G300" s="17" t="n">
        <x:v>31052.818600000002</x:v>
      </x:c>
      <x:c r="H300" s="17" t="n">
        <x:f>G300*F300</x:f>
        <x:v>62571.429479000006</x:v>
      </x:c>
      <x:c r="I300" s="22" t="str">
        <x:f>HYPERLINK("https://etp-aktiv.ru/catalog/materialy/metalloprodukciya/2000555982-U411/","Открыть позицию")</x:f>
        <x:v>Открыть позицию</x:v>
      </x:c>
    </x:row>
    <x:row r="301" ht="28" customHeight="1">
      <x:c r="A301" s="16" t="str">
        <x:v>Ново-Кемеровская ТЭЦ</x:v>
      </x:c>
      <x:c r="B301" s="16" t="str">
        <x:v>2000680795-U411</x:v>
      </x:c>
      <x:c r="C301" s="16" t="str">
        <x:v>ЛИСТ СТ3СП5 1500*1500*10 ГОСТ19903-2015</x:v>
      </x:c>
      <x:c r="D301" s="16" t="str">
        <x:v>Металлопрокат черный</x:v>
      </x:c>
      <x:c r="E301" s="16" t="str">
        <x:v>Т</x:v>
      </x:c>
      <x:c r="F301" s="30" t="n">
        <x:v>0.71</x:v>
      </x:c>
      <x:c r="G301" s="17" t="n">
        <x:v>28975</x:v>
      </x:c>
      <x:c r="H301" s="17" t="n">
        <x:f>G301*F301</x:f>
        <x:v>20572.25</x:v>
      </x:c>
      <x:c r="I301" s="22" t="str">
        <x:f>HYPERLINK("https://etp-aktiv.ru/catalog/materialy/metalloprodukciya/2000680795-U411/","Открыть позицию")</x:f>
        <x:v>Открыть позицию</x:v>
      </x:c>
    </x:row>
    <x:row r="302" ht="28" customHeight="1">
      <x:c r="A302" s="16" t="str">
        <x:v>Ново-Кемеровская ТЭЦ</x:v>
      </x:c>
      <x:c r="B302" s="16" t="str">
        <x:v>2000555962-U411</x:v>
      </x:c>
      <x:c r="C302" s="16" t="str">
        <x:v>ЛИСТ СТ45 1ММ ГОСТ1050-2013</x:v>
      </x:c>
      <x:c r="D302" s="16" t="str">
        <x:v>Металлопрокат черный</x:v>
      </x:c>
      <x:c r="E302" s="16" t="str">
        <x:v>Т</x:v>
      </x:c>
      <x:c r="F302" s="30" t="n">
        <x:v>0.1</x:v>
      </x:c>
      <x:c r="G302" s="17" t="n">
        <x:v>63276.093</x:v>
      </x:c>
      <x:c r="H302" s="17" t="n">
        <x:f>G302*F302</x:f>
        <x:v>6327.6093</x:v>
      </x:c>
      <x:c r="I302" s="22" t="str">
        <x:f>HYPERLINK("https://etp-aktiv.ru/catalog/materialy/metalloprodukciya/2000555962-U411/","Открыть позицию")</x:f>
        <x:v>Открыть позицию</x:v>
      </x:c>
    </x:row>
    <x:row r="303" ht="28" customHeight="1">
      <x:c r="A303" s="16" t="str">
        <x:v>Ново-Кемеровская ТЭЦ</x:v>
      </x:c>
      <x:c r="B303" s="16" t="str">
        <x:v>2000556245-U411</x:v>
      </x:c>
      <x:c r="C303" s="16" t="str">
        <x:v>ОЛОВО ПТ О1 8ММ ГОСТ860-75</x:v>
      </x:c>
      <x:c r="D303" s="16" t="str">
        <x:v>Металлопрокат цветной</x:v>
      </x:c>
      <x:c r="E303" s="16" t="str">
        <x:v>КГ</x:v>
      </x:c>
      <x:c r="F303" s="29" t="n">
        <x:v>2.5</x:v>
      </x:c>
      <x:c r="G303" s="17" t="n">
        <x:v>3416</x:v>
      </x:c>
      <x:c r="H303" s="17" t="n">
        <x:f>G303*F303</x:f>
        <x:v>8540</x:v>
      </x:c>
      <x:c r="I303" s="22" t="str">
        <x:f>HYPERLINK("https://etp-aktiv.ru/catalog/materialy/metalloprodukciya/2000556245-U411/","Открыть позицию")</x:f>
        <x:v>Открыть позицию</x:v>
      </x:c>
    </x:row>
    <x:row r="304" ht="28" customHeight="1">
      <x:c r="A304" s="16" t="str">
        <x:v>Ново-Кемеровская ТЭЦ</x:v>
      </x:c>
      <x:c r="B304" s="16" t="str">
        <x:v>2000556028-U411</x:v>
      </x:c>
      <x:c r="C304" s="16" t="str">
        <x:v>ОТЛИВКА СЧ15 250*500 ГОСТ1412-85</x:v>
      </x:c>
      <x:c r="D304" s="16" t="str">
        <x:v>Шихтовые материалы</x:v>
      </x:c>
      <x:c r="E304" s="16" t="str">
        <x:v>ШТ</x:v>
      </x:c>
      <x:c r="F304" s="21" t="n">
        <x:v>6</x:v>
      </x:c>
      <x:c r="G304" s="17" t="n">
        <x:v>12804.998</x:v>
      </x:c>
      <x:c r="H304" s="17" t="n">
        <x:f>G304*F304</x:f>
        <x:v>76829.988</x:v>
      </x:c>
      <x:c r="I304" s="22" t="str">
        <x:f>HYPERLINK("https://etp-aktiv.ru/catalog/materialy/metalloprodukciya/2000556028-U411/","Открыть позицию")</x:f>
        <x:v>Открыть позицию</x:v>
      </x:c>
    </x:row>
    <x:row r="305" ht="28" customHeight="1">
      <x:c r="A305" s="16" t="str">
        <x:v>Ново-Кемеровская ТЭЦ</x:v>
      </x:c>
      <x:c r="B305" s="16" t="str">
        <x:v>2000570060-U411</x:v>
      </x:c>
      <x:c r="C305" s="16" t="str">
        <x:v>ОТЛИВКА СЧ15 260*400 ГОСТ1412-85</x:v>
      </x:c>
      <x:c r="D305" s="16" t="str">
        <x:v>Шихтовые материалы</x:v>
      </x:c>
      <x:c r="E305" s="16" t="str">
        <x:v>ШТ</x:v>
      </x:c>
      <x:c r="F305" s="21" t="n">
        <x:v>2</x:v>
      </x:c>
      <x:c r="G305" s="17" t="n">
        <x:v>12729.943599999999</x:v>
      </x:c>
      <x:c r="H305" s="17" t="n">
        <x:f>G305*F305</x:f>
        <x:v>25459.887199999997</x:v>
      </x:c>
      <x:c r="I305" s="22" t="str">
        <x:f>HYPERLINK("https://etp-aktiv.ru/catalog/materialy/metalloprodukciya/2000570060-U411/","Открыть позицию")</x:f>
        <x:v>Открыть позицию</x:v>
      </x:c>
    </x:row>
    <x:row r="306" ht="28" customHeight="1">
      <x:c r="A306" s="16" t="str">
        <x:v>Ново-Кемеровская ТЭЦ</x:v>
      </x:c>
      <x:c r="B306" s="16" t="str">
        <x:v>2000688269-U411</x:v>
      </x:c>
      <x:c r="C306" s="16" t="str">
        <x:v>ОТЛИВКА СЧ15-32 250*300 ГОСТ1412-85</x:v>
      </x:c>
      <x:c r="D306" s="16" t="str">
        <x:v>Шихтовые материалы</x:v>
      </x:c>
      <x:c r="E306" s="16" t="str">
        <x:v>ШТ</x:v>
      </x:c>
      <x:c r="F306" s="21" t="n">
        <x:v>2</x:v>
      </x:c>
      <x:c r="G306" s="17" t="n">
        <x:v>9320.9952</x:v>
      </x:c>
      <x:c r="H306" s="17" t="n">
        <x:f>G306*F306</x:f>
        <x:v>18641.9904</x:v>
      </x:c>
      <x:c r="I306" s="22" t="str">
        <x:f>HYPERLINK("https://etp-aktiv.ru/catalog/materialy/metalloprodukciya/2000688269-U411/","Открыть позицию")</x:f>
        <x:v>Открыть позицию</x:v>
      </x:c>
    </x:row>
    <x:row r="307" ht="28" customHeight="1">
      <x:c r="A307" s="16" t="str">
        <x:v>Ново-Кемеровская ТЭЦ</x:v>
      </x:c>
      <x:c r="B307" s="16" t="str">
        <x:v>2000636023-U411</x:v>
      </x:c>
      <x:c r="C307" s="16" t="str">
        <x:v>ОТЛИВКА СЧ15-32 500*300 ГОСТ1412-85</x:v>
      </x:c>
      <x:c r="D307" s="16" t="str">
        <x:v>Шихтовые материалы</x:v>
      </x:c>
      <x:c r="E307" s="16" t="str">
        <x:v>ШТ</x:v>
      </x:c>
      <x:c r="F307" s="21" t="n">
        <x:v>1</x:v>
      </x:c>
      <x:c r="G307" s="17" t="n">
        <x:v>10499.625</x:v>
      </x:c>
      <x:c r="H307" s="17" t="n">
        <x:f>G307*F307</x:f>
        <x:v>10499.625</x:v>
      </x:c>
      <x:c r="I307" s="22" t="str">
        <x:f>HYPERLINK("https://etp-aktiv.ru/catalog/materialy/metalloprodukciya/2000636023-U411/","Открыть позицию")</x:f>
        <x:v>Открыть позицию</x:v>
      </x:c>
    </x:row>
    <x:row r="308" ht="28" customHeight="1">
      <x:c r="A308" s="16" t="str">
        <x:v>Ново-Кемеровская ТЭЦ</x:v>
      </x:c>
      <x:c r="B308" s="16" t="str">
        <x:v>2000556031-U411</x:v>
      </x:c>
      <x:c r="C308" s="16" t="str">
        <x:v>ОТЛИВКА СЧ20 160*300 ГОСТ1412-85</x:v>
      </x:c>
      <x:c r="D308" s="16" t="str">
        <x:v>Шихтовые материалы</x:v>
      </x:c>
      <x:c r="E308" s="16" t="str">
        <x:v>ШТ</x:v>
      </x:c>
      <x:c r="F308" s="21" t="n">
        <x:v>2</x:v>
      </x:c>
      <x:c r="G308" s="17" t="n">
        <x:v>6049.296799999999</x:v>
      </x:c>
      <x:c r="H308" s="17" t="n">
        <x:f>G308*F308</x:f>
        <x:v>12098.593599999998</x:v>
      </x:c>
      <x:c r="I308" s="22" t="str">
        <x:f>HYPERLINK("https://etp-aktiv.ru/catalog/materialy/metalloprodukciya/2000556031-U411/","Открыть позицию")</x:f>
        <x:v>Открыть позицию</x:v>
      </x:c>
    </x:row>
    <x:row r="309" ht="28" customHeight="1">
      <x:c r="A309" s="16" t="str">
        <x:v>Ново-Кемеровская ТЭЦ</x:v>
      </x:c>
      <x:c r="B309" s="16" t="str">
        <x:v>2000959241-U411</x:v>
      </x:c>
      <x:c r="C309" s="16" t="str">
        <x:v>ОТЛИВКА СЧ20 300*250 ГОСТ1412-85</x:v>
      </x:c>
      <x:c r="D309" s="16" t="str">
        <x:v>Шихтовые материалы</x:v>
      </x:c>
      <x:c r="E309" s="16" t="str">
        <x:v>ШТ</x:v>
      </x:c>
      <x:c r="F309" s="21" t="n">
        <x:v>5</x:v>
      </x:c>
      <x:c r="G309" s="17" t="n">
        <x:v>10499.625</x:v>
      </x:c>
      <x:c r="H309" s="17" t="n">
        <x:f>G309*F309</x:f>
        <x:v>52498.125</x:v>
      </x:c>
      <x:c r="I309" s="22" t="str">
        <x:f>HYPERLINK("https://etp-aktiv.ru/catalog/materialy/metalloprodukciya/2000959241-U411/","Открыть позицию")</x:f>
        <x:v>Открыть позицию</x:v>
      </x:c>
    </x:row>
    <x:row r="310" ht="28" customHeight="1">
      <x:c r="A310" s="16" t="str">
        <x:v>Ново-Кемеровская ТЭЦ</x:v>
      </x:c>
      <x:c r="B310" s="16" t="str">
        <x:v>2000556037-U411</x:v>
      </x:c>
      <x:c r="C310" s="16" t="str">
        <x:v>ОТЛИВКА СЧ24 80*500 ГОСТ1412-85</x:v>
      </x:c>
      <x:c r="D310" s="16" t="str">
        <x:v>Шихтовые материалы</x:v>
      </x:c>
      <x:c r="E310" s="16" t="str">
        <x:v>КГ</x:v>
      </x:c>
      <x:c r="F310" s="21" t="n">
        <x:v>102</x:v>
      </x:c>
      <x:c r="G310" s="17" t="n">
        <x:v>166.7618</x:v>
      </x:c>
      <x:c r="H310" s="17" t="n">
        <x:f>G310*F310</x:f>
        <x:v>17009.7036</x:v>
      </x:c>
      <x:c r="I310" s="22" t="str">
        <x:f>HYPERLINK("https://etp-aktiv.ru/catalog/materialy/metalloprodukciya/2000556037-U411/","Открыть позицию")</x:f>
        <x:v>Открыть позицию</x:v>
      </x:c>
    </x:row>
    <x:row r="311" ht="28" customHeight="1">
      <x:c r="A311" s="16" t="str">
        <x:v>Ново-Кемеровская ТЭЦ</x:v>
      </x:c>
      <x:c r="B311" s="16" t="str">
        <x:v>2000959444-U411</x:v>
      </x:c>
      <x:c r="C311" s="16" t="str">
        <x:v>ПОКОВКА 12Х1МФ ГРII КП215 450*90 Г8479</x:v>
      </x:c>
      <x:c r="D311" s="16" t="str">
        <x:v>Поковка</x:v>
      </x:c>
      <x:c r="E311" s="16" t="str">
        <x:v>ШТ</x:v>
      </x:c>
      <x:c r="F311" s="21" t="n">
        <x:v>1</x:v>
      </x:c>
      <x:c r="G311" s="17" t="n">
        <x:v>6999.75</x:v>
      </x:c>
      <x:c r="H311" s="17" t="n">
        <x:f>G311*F311</x:f>
        <x:v>6999.75</x:v>
      </x:c>
      <x:c r="I311" s="22" t="str">
        <x:f>HYPERLINK("https://etp-aktiv.ru/catalog/materialy/metalloprodukciya/2000959444-U411/","Открыть позицию")</x:f>
        <x:v>Открыть позицию</x:v>
      </x:c>
    </x:row>
    <x:row r="312" ht="28" customHeight="1">
      <x:c r="A312" s="16" t="str">
        <x:v>Ново-Кемеровская ТЭЦ</x:v>
      </x:c>
      <x:c r="B312" s="16" t="str">
        <x:v>2000959551-U411</x:v>
      </x:c>
      <x:c r="C312" s="16" t="str">
        <x:v>ПОКОВКА 12Х1МФ ГРII КП215 500*90 Г8479</x:v>
      </x:c>
      <x:c r="D312" s="16" t="str">
        <x:v>Поковка</x:v>
      </x:c>
      <x:c r="E312" s="16" t="str">
        <x:v>ШТ</x:v>
      </x:c>
      <x:c r="F312" s="21" t="n">
        <x:v>1</x:v>
      </x:c>
      <x:c r="G312" s="17" t="n">
        <x:v>6999.75</x:v>
      </x:c>
      <x:c r="H312" s="17" t="n">
        <x:f>G312*F312</x:f>
        <x:v>6999.75</x:v>
      </x:c>
      <x:c r="I312" s="22" t="str">
        <x:f>HYPERLINK("https://etp-aktiv.ru/catalog/materialy/metalloprodukciya/2000959551-U411/","Открыть позицию")</x:f>
        <x:v>Открыть позицию</x:v>
      </x:c>
    </x:row>
    <x:row r="313" ht="28" customHeight="1">
      <x:c r="A313" s="16" t="str">
        <x:v>Ново-Кемеровская ТЭЦ</x:v>
      </x:c>
      <x:c r="B313" s="16" t="str">
        <x:v>2000556430-U411</x:v>
      </x:c>
      <x:c r="C313" s="16" t="str">
        <x:v>ПОКОВКА СТ20 150*55 ОСТ108.030.113</x:v>
      </x:c>
      <x:c r="D313" s="16" t="str">
        <x:v>Поковка</x:v>
      </x:c>
      <x:c r="E313" s="16" t="str">
        <x:v>ШТ</x:v>
      </x:c>
      <x:c r="F313" s="21" t="n">
        <x:v>3</x:v>
      </x:c>
      <x:c r="G313" s="17" t="n">
        <x:v>1399.9987999999998</x:v>
      </x:c>
      <x:c r="H313" s="17" t="n">
        <x:f>G313*F313</x:f>
        <x:v>4199.9964</x:v>
      </x:c>
      <x:c r="I313" s="22" t="str">
        <x:f>HYPERLINK("https://etp-aktiv.ru/catalog/materialy/metalloprodukciya/2000556430-U411/","Открыть позицию")</x:f>
        <x:v>Открыть позицию</x:v>
      </x:c>
    </x:row>
    <x:row r="314" ht="28" customHeight="1">
      <x:c r="A314" s="16" t="str">
        <x:v>Ново-Кемеровская ТЭЦ</x:v>
      </x:c>
      <x:c r="B314" s="16" t="str">
        <x:v>2000584029-U411</x:v>
      </x:c>
      <x:c r="C314" s="16" t="str">
        <x:v>ПОКОВКА СТ20 235*80 II-Т ОСТ108.030.113</x:v>
      </x:c>
      <x:c r="D314" s="16" t="str">
        <x:v>Поковка</x:v>
      </x:c>
      <x:c r="E314" s="16" t="str">
        <x:v>ШТ</x:v>
      </x:c>
      <x:c r="F314" s="21" t="n">
        <x:v>7</x:v>
      </x:c>
      <x:c r="G314" s="17" t="n">
        <x:v>7015</x:v>
      </x:c>
      <x:c r="H314" s="17" t="n">
        <x:f>G314*F314</x:f>
        <x:v>49105</x:v>
      </x:c>
      <x:c r="I314" s="22" t="str">
        <x:f>HYPERLINK("https://etp-aktiv.ru/catalog/materialy/metalloprodukciya/2000584029-U411/","Открыть позицию")</x:f>
        <x:v>Открыть позицию</x:v>
      </x:c>
    </x:row>
    <x:row r="315" ht="28" customHeight="1">
      <x:c r="A315" s="16" t="str">
        <x:v>Ново-Кемеровская ТЭЦ</x:v>
      </x:c>
      <x:c r="B315" s="16" t="str">
        <x:v>2000556437-U411</x:v>
      </x:c>
      <x:c r="C315" s="16" t="str">
        <x:v>ПОКОВКА СТ20 240*600 ГОСТ8479-70</x:v>
      </x:c>
      <x:c r="D315" s="16" t="str">
        <x:v>Поковка</x:v>
      </x:c>
      <x:c r="E315" s="16" t="str">
        <x:v>ШТ</x:v>
      </x:c>
      <x:c r="F315" s="21" t="n">
        <x:v>1</x:v>
      </x:c>
      <x:c r="G315" s="17" t="n">
        <x:v>34657.9186</x:v>
      </x:c>
      <x:c r="H315" s="17" t="n">
        <x:f>G315*F315</x:f>
        <x:v>34657.9186</x:v>
      </x:c>
      <x:c r="I315" s="22" t="str">
        <x:f>HYPERLINK("https://etp-aktiv.ru/catalog/materialy/metalloprodukciya/2000556437-U411/","Открыть позицию")</x:f>
        <x:v>Открыть позицию</x:v>
      </x:c>
    </x:row>
    <x:row r="316" ht="28" customHeight="1">
      <x:c r="A316" s="16" t="str">
        <x:v>Ново-Кемеровская ТЭЦ</x:v>
      </x:c>
      <x:c r="B316" s="16" t="str">
        <x:v>2000634903-U411</x:v>
      </x:c>
      <x:c r="C316" s="16" t="str">
        <x:v>ПОКОВКА СТ20 280*80 II Т ОСТ108.030.113</x:v>
      </x:c>
      <x:c r="D316" s="16" t="str">
        <x:v>Поковка</x:v>
      </x:c>
      <x:c r="E316" s="16" t="str">
        <x:v>ШТ</x:v>
      </x:c>
      <x:c r="F316" s="21" t="n">
        <x:v>10</x:v>
      </x:c>
      <x:c r="G316" s="17" t="n">
        <x:v>5927.9922</x:v>
      </x:c>
      <x:c r="H316" s="17" t="n">
        <x:f>G316*F316</x:f>
        <x:v>59279.922</x:v>
      </x:c>
      <x:c r="I316" s="22" t="str">
        <x:f>HYPERLINK("https://etp-aktiv.ru/catalog/materialy/metalloprodukciya/2000634903-U411/","Открыть позицию")</x:f>
        <x:v>Открыть позицию</x:v>
      </x:c>
    </x:row>
    <x:row r="317" ht="28" customHeight="1">
      <x:c r="A317" s="16" t="str">
        <x:v>Ново-Кемеровская ТЭЦ</x:v>
      </x:c>
      <x:c r="B317" s="16" t="str">
        <x:v>2000632817-U411</x:v>
      </x:c>
      <x:c r="C317" s="16" t="str">
        <x:v>ПРИПОЙ С ФЛЮСОМ 1КГ BRAZETEC COMET 3476U</x:v>
      </x:c>
      <x:c r="D317" s="16" t="str">
        <x:v>Металлопрокат цветной</x:v>
      </x:c>
      <x:c r="E317" s="16" t="str">
        <x:v>УПК</x:v>
      </x:c>
      <x:c r="F317" s="21" t="n">
        <x:v>2</x:v>
      </x:c>
      <x:c r="G317" s="17" t="n">
        <x:v>14127.6</x:v>
      </x:c>
      <x:c r="H317" s="17" t="n">
        <x:f>G317*F317</x:f>
        <x:v>28255.2</x:v>
      </x:c>
      <x:c r="I317" s="22" t="str">
        <x:f>HYPERLINK("https://etp-aktiv.ru/catalog/materialy/metalloprodukciya/2000632817-U411/","Открыть позицию")</x:f>
        <x:v>Открыть позицию</x:v>
      </x:c>
    </x:row>
    <x:row r="318" ht="28" customHeight="1">
      <x:c r="A318" s="16" t="str">
        <x:v>Ново-Кемеровская ТЭЦ</x:v>
      </x:c>
      <x:c r="B318" s="16" t="str">
        <x:v>2000210745-U411</x:v>
      </x:c>
      <x:c r="C318" s="16" t="str">
        <x:v>ПРОВОЛОКА СВ08Г2С D2ММ ГОСТ2246-70</x:v>
      </x:c>
      <x:c r="D318" s="16" t="str">
        <x:v>Сварочные электроды</x:v>
      </x:c>
      <x:c r="E318" s="16" t="str">
        <x:v>КГ</x:v>
      </x:c>
      <x:c r="F318" s="29" t="n">
        <x:v>8.4</x:v>
      </x:c>
      <x:c r="G318" s="17" t="n">
        <x:v>66.4778</x:v>
      </x:c>
      <x:c r="H318" s="17" t="n">
        <x:f>G318*F318</x:f>
        <x:v>558.4135200000001</x:v>
      </x:c>
      <x:c r="I318" s="22" t="str">
        <x:f>HYPERLINK("https://etp-aktiv.ru/catalog/materialy/svarochnye-ehlektrody/2000210745-U411/","Открыть позицию")</x:f>
        <x:v>Открыть позицию</x:v>
      </x:c>
    </x:row>
    <x:row r="319" ht="28" customHeight="1">
      <x:c r="A319" s="16" t="str">
        <x:v>Ново-Кемеровская ТЭЦ</x:v>
      </x:c>
      <x:c r="B319" s="16" t="str">
        <x:v>2000570007-U411</x:v>
      </x:c>
      <x:c r="C319" s="16" t="str">
        <x:v>ПРОФИЛЬ АН/АМГ2.М А50-1000-1,0 6М</x:v>
      </x:c>
      <x:c r="D319" s="16" t="str">
        <x:v>Металлопрокат цветной</x:v>
      </x:c>
      <x:c r="E319" s="16" t="str">
        <x:v>М2</x:v>
      </x:c>
      <x:c r="F319" s="29" t="n">
        <x:v>185.36</x:v>
      </x:c>
      <x:c r="G319" s="17" t="n">
        <x:v>830.515</x:v>
      </x:c>
      <x:c r="H319" s="17" t="n">
        <x:f>G319*F319</x:f>
        <x:v>153944.2604</x:v>
      </x:c>
      <x:c r="I319" s="22" t="str">
        <x:f>HYPERLINK("https://etp-aktiv.ru/catalog/materialy/metalloprodukciya/2000570007-U411/","Открыть позицию")</x:f>
        <x:v>Открыть позицию</x:v>
      </x:c>
    </x:row>
    <x:row r="320" ht="28" customHeight="1">
      <x:c r="A320" s="16" t="str">
        <x:v>Ново-Кемеровская ТЭЦ</x:v>
      </x:c>
      <x:c r="B320" s="16" t="str">
        <x:v>2000512141-U411</x:v>
      </x:c>
      <x:c r="C320" s="16" t="str">
        <x:v>ПРОФИЛЬ СТ3СП5 50*50*2 ГОСТ30245-03</x:v>
      </x:c>
      <x:c r="D320" s="16" t="str">
        <x:v>Металлопрокат прочий</x:v>
      </x:c>
      <x:c r="E320" s="16" t="str">
        <x:v>Т</x:v>
      </x:c>
      <x:c r="F320" s="30" t="n">
        <x:v>0.009</x:v>
      </x:c>
      <x:c r="G320" s="17" t="n">
        <x:v>34072.062399999995</x:v>
      </x:c>
      <x:c r="H320" s="17" t="n">
        <x:f>G320*F320</x:f>
        <x:v>306.64856159999994</x:v>
      </x:c>
      <x:c r="I320" s="22" t="str">
        <x:f>HYPERLINK("https://etp-aktiv.ru/catalog/materialy/metalloprodukciya/2000512141-U411/","Открыть позицию")</x:f>
        <x:v>Открыть позицию</x:v>
      </x:c>
    </x:row>
    <x:row r="321" ht="28" customHeight="1">
      <x:c r="A321" s="16" t="str">
        <x:v>Ново-Кемеровская ТЭЦ</x:v>
      </x:c>
      <x:c r="B321" s="16" t="str">
        <x:v>2000556344-U411</x:v>
      </x:c>
      <x:c r="C321" s="16" t="str">
        <x:v>ПРУТОК БРАЖ9-4 МП 80*2000 ГОСТ1628-78</x:v>
      </x:c>
      <x:c r="D321" s="16" t="str">
        <x:v>Металлопрокат цветной</x:v>
      </x:c>
      <x:c r="E321" s="16" t="str">
        <x:v>КГ</x:v>
      </x:c>
      <x:c r="F321" s="21" t="n">
        <x:v>0</x:v>
      </x:c>
      <x:c r="G321" s="17" t="n">
        <x:v>734.7693999999999</x:v>
      </x:c>
      <x:c r="H321" s="17" t="n">
        <x:f>G321*F321</x:f>
        <x:v>0</x:v>
      </x:c>
      <x:c r="I321" s="22" t="str">
        <x:f>HYPERLINK("https://etp-aktiv.ru/catalog/materialy/metalloprodukciya/2000556344-U411/","Открыть позицию")</x:f>
        <x:v>Открыть позицию</x:v>
      </x:c>
    </x:row>
    <x:row r="322" ht="28" customHeight="1">
      <x:c r="A322" s="16" t="str">
        <x:v>Ново-Кемеровская ТЭЦ</x:v>
      </x:c>
      <x:c r="B322" s="16" t="str">
        <x:v>2000751625-U411</x:v>
      </x:c>
      <x:c r="C322" s="16" t="str">
        <x:v>ПРУТОК БРАЖМЦ-10-3-1,5 D90ММ ГОСТ1628-78</x:v>
      </x:c>
      <x:c r="D322" s="16" t="str">
        <x:v>Металлопрокат цветной</x:v>
      </x:c>
      <x:c r="E322" s="16" t="str">
        <x:v>КГ</x:v>
      </x:c>
      <x:c r="F322" s="21" t="n">
        <x:v>39</x:v>
      </x:c>
      <x:c r="G322" s="17" t="n">
        <x:v>1220</x:v>
      </x:c>
      <x:c r="H322" s="17" t="n">
        <x:f>G322*F322</x:f>
        <x:v>47580</x:v>
      </x:c>
      <x:c r="I322" s="22" t="str">
        <x:f>HYPERLINK("https://etp-aktiv.ru/catalog/materialy/metalloprodukciya/2000751625-U411/","Открыть позицию")</x:f>
        <x:v>Открыть позицию</x:v>
      </x:c>
    </x:row>
    <x:row r="323" ht="28" customHeight="1">
      <x:c r="A323" s="16" t="str">
        <x:v>Ново-Кемеровская ТЭЦ</x:v>
      </x:c>
      <x:c r="B323" s="16" t="str">
        <x:v>2000165024-U411</x:v>
      </x:c>
      <x:c r="C323" s="16" t="str">
        <x:v>ПРУТОК БРОЦС 5-5-5 D60ММ ГОСТ1628-78</x:v>
      </x:c>
      <x:c r="D323" s="16" t="str">
        <x:v>Металлопрокат цветной</x:v>
      </x:c>
      <x:c r="E323" s="16" t="str">
        <x:v>КГ</x:v>
      </x:c>
      <x:c r="F323" s="29" t="n">
        <x:v>7.5</x:v>
      </x:c>
      <x:c r="G323" s="17" t="n">
        <x:v>853.0728</x:v>
      </x:c>
      <x:c r="H323" s="17" t="n">
        <x:f>G323*F323</x:f>
        <x:v>6398.046</x:v>
      </x:c>
      <x:c r="I323" s="22" t="str">
        <x:f>HYPERLINK("https://etp-aktiv.ru/catalog/materialy/metalloprodukciya/2000165024-U411/","Открыть позицию")</x:f>
        <x:v>Открыть позицию</x:v>
      </x:c>
    </x:row>
    <x:row r="324" ht="28" customHeight="1">
      <x:c r="A324" s="16" t="str">
        <x:v>Ново-Кемеровская ТЭЦ</x:v>
      </x:c>
      <x:c r="B324" s="16" t="str">
        <x:v>2000445080-U411</x:v>
      </x:c>
      <x:c r="C324" s="16" t="str">
        <x:v>САМОРЕЗ 3,5*15 ПО МЕТАЛЛУ DIN7983</x:v>
      </x:c>
      <x:c r="D324" s="16" t="str">
        <x:v>Метизы</x:v>
      </x:c>
      <x:c r="E324" s="16" t="str">
        <x:v>КГ</x:v>
      </x:c>
      <x:c r="F324" s="30" t="n">
        <x:v>0.8</x:v>
      </x:c>
      <x:c r="G324" s="17" t="n">
        <x:v>84.64359999999999</x:v>
      </x:c>
      <x:c r="H324" s="17" t="n">
        <x:f>G324*F324</x:f>
        <x:v>67.71488</x:v>
      </x:c>
      <x:c r="I324" s="22" t="str">
        <x:f>HYPERLINK("https://etp-aktiv.ru/catalog/materialy/metizy/2000445080-U411/","Открыть позицию")</x:f>
        <x:v>Открыть позицию</x:v>
      </x:c>
    </x:row>
    <x:row r="325" ht="28" customHeight="1">
      <x:c r="A325" s="16" t="str">
        <x:v>Ново-Кемеровская ТЭЦ</x:v>
      </x:c>
      <x:c r="B325" s="16" t="str">
        <x:v>2000307957-U411</x:v>
      </x:c>
      <x:c r="C325" s="16" t="str">
        <x:v>САМОРЕЗ 3,5*32 УНИВЕРСАЛЬНЫЙ ГОСТ10621-8</x:v>
      </x:c>
      <x:c r="D325" s="16" t="str">
        <x:v>Метизы</x:v>
      </x:c>
      <x:c r="E325" s="16" t="str">
        <x:v>ШТ</x:v>
      </x:c>
      <x:c r="F325" s="21" t="n">
        <x:v>900</x:v>
      </x:c>
      <x:c r="G325" s="17" t="n">
        <x:v>0.122</x:v>
      </x:c>
      <x:c r="H325" s="17" t="n">
        <x:f>G325*F325</x:f>
        <x:v>109.8</x:v>
      </x:c>
      <x:c r="I325" s="22" t="str">
        <x:f>HYPERLINK("https://etp-aktiv.ru/catalog/materialy/metizy/2000307957-U411/","Открыть позицию")</x:f>
        <x:v>Открыть позицию</x:v>
      </x:c>
    </x:row>
    <x:row r="326" ht="28" customHeight="1">
      <x:c r="A326" s="16" t="str">
        <x:v>Ново-Кемеровская ТЭЦ</x:v>
      </x:c>
      <x:c r="B326" s="16" t="str">
        <x:v>2000304715-U411</x:v>
      </x:c>
      <x:c r="C326" s="16" t="str">
        <x:v>САМОРЕЗ 4,2*16 ПО МЕТАЛЛУ DIN7504</x:v>
      </x:c>
      <x:c r="D326" s="16" t="str">
        <x:v>Метизы</x:v>
      </x:c>
      <x:c r="E326" s="16" t="str">
        <x:v>ШТ</x:v>
      </x:c>
      <x:c r="F326" s="21" t="n">
        <x:v>3763</x:v>
      </x:c>
      <x:c r="G326" s="17" t="n">
        <x:v>0.4636</x:v>
      </x:c>
      <x:c r="H326" s="17" t="n">
        <x:f>G326*F326</x:f>
        <x:v>1744.5268</x:v>
      </x:c>
      <x:c r="I326" s="22" t="str">
        <x:f>HYPERLINK("https://etp-aktiv.ru/catalog/materialy/metizy/2000304715-U411/","Открыть позицию")</x:f>
        <x:v>Открыть позицию</x:v>
      </x:c>
    </x:row>
    <x:row r="327" ht="28" customHeight="1">
      <x:c r="A327" s="16" t="str">
        <x:v>Ново-Кемеровская ТЭЦ</x:v>
      </x:c>
      <x:c r="B327" s="16" t="str">
        <x:v>2000307869-U411</x:v>
      </x:c>
      <x:c r="C327" s="16" t="str">
        <x:v>САМОРЕЗ 4,2*16 ПО МЕТАЛЛУ DIN968</x:v>
      </x:c>
      <x:c r="D327" s="16" t="str">
        <x:v>Метизы</x:v>
      </x:c>
      <x:c r="E327" s="16" t="str">
        <x:v>КГ</x:v>
      </x:c>
      <x:c r="F327" s="29" t="n">
        <x:v>8.432</x:v>
      </x:c>
      <x:c r="G327" s="17" t="n">
        <x:v>100.67439999999999</x:v>
      </x:c>
      <x:c r="H327" s="17" t="n">
        <x:f>G327*F327</x:f>
        <x:v>848.8865407999999</x:v>
      </x:c>
      <x:c r="I327" s="22" t="str">
        <x:f>HYPERLINK("https://etp-aktiv.ru/catalog/materialy/metizy/2000307869-U411/","Открыть позицию")</x:f>
        <x:v>Открыть позицию</x:v>
      </x:c>
    </x:row>
    <x:row r="328" ht="28" customHeight="1">
      <x:c r="A328" s="16" t="str">
        <x:v>Ново-Кемеровская ТЭЦ</x:v>
      </x:c>
      <x:c r="B328" s="16" t="str">
        <x:v>2000461838-U411</x:v>
      </x:c>
      <x:c r="C328" s="16" t="str">
        <x:v>САМОРЕЗ С ПРЕСШАЙБОЙ 4,2*32 ПО МЕТАЛЛУ</x:v>
      </x:c>
      <x:c r="D328" s="16" t="str">
        <x:v>Метизы</x:v>
      </x:c>
      <x:c r="E328" s="16" t="str">
        <x:v>ШТ</x:v>
      </x:c>
      <x:c r="F328" s="21" t="n">
        <x:v>700</x:v>
      </x:c>
      <x:c r="G328" s="17" t="n">
        <x:v>0.4026</x:v>
      </x:c>
      <x:c r="H328" s="17" t="n">
        <x:f>G328*F328</x:f>
        <x:v>281.82</x:v>
      </x:c>
      <x:c r="I328" s="22" t="str">
        <x:f>HYPERLINK("https://etp-aktiv.ru/catalog/materialy/metizy/2000461838-U411/","Открыть позицию")</x:f>
        <x:v>Открыть позицию</x:v>
      </x:c>
    </x:row>
    <x:row r="329" ht="28" customHeight="1">
      <x:c r="A329" s="16" t="str">
        <x:v>Ново-Кемеровская ТЭЦ</x:v>
      </x:c>
      <x:c r="B329" s="16" t="str">
        <x:v>2000530193-U411</x:v>
      </x:c>
      <x:c r="C329" s="16" t="str">
        <x:v>СЕТКА 4С 6-100/6-100 100*200 Г23279 АIII</x:v>
      </x:c>
      <x:c r="D329" s="16" t="str">
        <x:v>Метизы специализированные и под заказ</x:v>
      </x:c>
      <x:c r="E329" s="16" t="str">
        <x:v>ШТ</x:v>
      </x:c>
      <x:c r="F329" s="21" t="n">
        <x:v>22</x:v>
      </x:c>
      <x:c r="G329" s="17" t="n">
        <x:v>246.867</x:v>
      </x:c>
      <x:c r="H329" s="17" t="n">
        <x:f>G329*F329</x:f>
        <x:v>5431.074</x:v>
      </x:c>
      <x:c r="I329" s="22" t="str">
        <x:f>HYPERLINK("https://etp-aktiv.ru/catalog/materialy/metizy/2000530193-U411/","Открыть позицию")</x:f>
        <x:v>Открыть позицию</x:v>
      </x:c>
    </x:row>
    <x:row r="330" ht="28" customHeight="1">
      <x:c r="A330" s="16" t="str">
        <x:v>Ново-Кемеровская ТЭЦ</x:v>
      </x:c>
      <x:c r="B330" s="16" t="str">
        <x:v>2000464404-U411</x:v>
      </x:c>
      <x:c r="C330" s="16" t="str">
        <x:v>СЕТКА 4С АIII 100*100*8 ГОСТ2379-85</x:v>
      </x:c>
      <x:c r="D330" s="16" t="str">
        <x:v>Метизы специализированные и под заказ</x:v>
      </x:c>
      <x:c r="E330" s="16" t="str">
        <x:v>М2</x:v>
      </x:c>
      <x:c r="F330" s="21" t="n">
        <x:v>4</x:v>
      </x:c>
      <x:c r="G330" s="17" t="n">
        <x:v>476.5686</x:v>
      </x:c>
      <x:c r="H330" s="17" t="n">
        <x:f>G330*F330</x:f>
        <x:v>1906.2744</x:v>
      </x:c>
      <x:c r="I330" s="22" t="str">
        <x:f>HYPERLINK("https://etp-aktiv.ru/catalog/materialy/metizy/2000464404-U411/","Открыть позицию")</x:f>
        <x:v>Открыть позицию</x:v>
      </x:c>
    </x:row>
    <x:row r="331" ht="28" customHeight="1">
      <x:c r="A331" s="16" t="str">
        <x:v>Ново-Кемеровская ТЭЦ</x:v>
      </x:c>
      <x:c r="B331" s="16" t="str">
        <x:v>2000697768-U411</x:v>
      </x:c>
      <x:c r="C331" s="16" t="str">
        <x:v>СЕТКА 50*50*1,6*1500 ОЦИНК ГОСТ2715-75</x:v>
      </x:c>
      <x:c r="D331" s="16" t="str">
        <x:v>Метизы специализированные и под заказ</x:v>
      </x:c>
      <x:c r="E331" s="16" t="str">
        <x:v>М2</x:v>
      </x:c>
      <x:c r="F331" s="29" t="n">
        <x:v>2.5</x:v>
      </x:c>
      <x:c r="G331" s="17" t="n">
        <x:v>92.0246</x:v>
      </x:c>
      <x:c r="H331" s="17" t="n">
        <x:f>G331*F331</x:f>
        <x:v>230.06150000000002</x:v>
      </x:c>
      <x:c r="I331" s="22" t="str">
        <x:f>HYPERLINK("https://etp-aktiv.ru/catalog/materialy/metizy/2000697768-U411/","Открыть позицию")</x:f>
        <x:v>Открыть позицию</x:v>
      </x:c>
    </x:row>
    <x:row r="332" ht="28" customHeight="1">
      <x:c r="A332" s="16" t="str">
        <x:v>Ново-Кемеровская ТЭЦ</x:v>
      </x:c>
      <x:c r="B332" s="16" t="str">
        <x:v>2000530206-U411</x:v>
      </x:c>
      <x:c r="C332" s="16" t="str">
        <x:v>СЕТКА ПЛЕТЕНАЯ 1 РОМБ 15-1,6 ГОСТ5336</x:v>
      </x:c>
      <x:c r="D332" s="16" t="str">
        <x:v>Метизы специализированные и под заказ</x:v>
      </x:c>
      <x:c r="E332" s="16" t="str">
        <x:v>М2</x:v>
      </x:c>
      <x:c r="F332" s="29" t="n">
        <x:v>8.986</x:v>
      </x:c>
      <x:c r="G332" s="17" t="n">
        <x:v>54.961</x:v>
      </x:c>
      <x:c r="H332" s="17" t="n">
        <x:f>G332*F332</x:f>
        <x:v>493.879546</x:v>
      </x:c>
      <x:c r="I332" s="22" t="str">
        <x:f>HYPERLINK("https://etp-aktiv.ru/catalog/materialy/metizy/2000530206-U411/","Открыть позицию")</x:f>
        <x:v>Открыть позицию</x:v>
      </x:c>
    </x:row>
    <x:row r="333" ht="28" customHeight="1">
      <x:c r="A333" s="16" t="str">
        <x:v>Ново-Кемеровская ТЭЦ</x:v>
      </x:c>
      <x:c r="B333" s="16" t="str">
        <x:v>2000580005-U411</x:v>
      </x:c>
      <x:c r="C333" s="16" t="str">
        <x:v>УГОЛОК С255 75*6 ГОСТ8509-93</x:v>
      </x:c>
      <x:c r="D333" s="16" t="str">
        <x:v>Металлопрокат черный</x:v>
      </x:c>
      <x:c r="E333" s="16" t="str">
        <x:v>Т</x:v>
      </x:c>
      <x:c r="F333" s="30" t="n">
        <x:v>0.022</x:v>
      </x:c>
      <x:c r="G333" s="17" t="n">
        <x:v>30060.0436</x:v>
      </x:c>
      <x:c r="H333" s="17" t="n">
        <x:f>G333*F333</x:f>
        <x:v>661.3209592</x:v>
      </x:c>
      <x:c r="I333" s="22" t="str">
        <x:f>HYPERLINK("https://etp-aktiv.ru/catalog/materialy/metalloprodukciya/2000580005-U411/","Открыть позицию")</x:f>
        <x:v>Открыть позицию</x:v>
      </x:c>
    </x:row>
    <x:row r="334" ht="28" customHeight="1">
      <x:c r="A334" s="16" t="str">
        <x:v>Ново-Кемеровская ТЭЦ</x:v>
      </x:c>
      <x:c r="B334" s="16" t="str">
        <x:v>2000248401-U411</x:v>
      </x:c>
      <x:c r="C334" s="16" t="str">
        <x:v>УГОЛОК СТ3 32*32*3 ГОСТ8509-93</x:v>
      </x:c>
      <x:c r="D334" s="16" t="str">
        <x:v>Металлопрокат черный</x:v>
      </x:c>
      <x:c r="E334" s="16" t="str">
        <x:v>Т</x:v>
      </x:c>
      <x:c r="F334" s="30" t="n">
        <x:v>0.132</x:v>
      </x:c>
      <x:c r="G334" s="17" t="n">
        <x:v>54452.333199999994</x:v>
      </x:c>
      <x:c r="H334" s="17" t="n">
        <x:f>G334*F334</x:f>
        <x:v>7187.707982399999</x:v>
      </x:c>
      <x:c r="I334" s="22" t="str">
        <x:f>HYPERLINK("https://etp-aktiv.ru/catalog/materialy/metalloprodukciya/2000248401-U411/","Открыть позицию")</x:f>
        <x:v>Открыть позицию</x:v>
      </x:c>
    </x:row>
    <x:row r="335" ht="28" customHeight="1">
      <x:c r="A335" s="16" t="str">
        <x:v>Ново-Кемеровская ТЭЦ</x:v>
      </x:c>
      <x:c r="B335" s="16" t="str">
        <x:v>2000043579-U411</x:v>
      </x:c>
      <x:c r="C335" s="16" t="str">
        <x:v>УГОЛОК СТ3 63*63*5</x:v>
      </x:c>
      <x:c r="D335" s="16" t="str">
        <x:v>Металлопрокат черный</x:v>
      </x:c>
      <x:c r="E335" s="16" t="str">
        <x:v>Т</x:v>
      </x:c>
      <x:c r="F335" s="30" t="n">
        <x:v>0.033</x:v>
      </x:c>
      <x:c r="G335" s="17" t="n">
        <x:v>27633.976</x:v>
      </x:c>
      <x:c r="H335" s="17" t="n">
        <x:f>G335*F335</x:f>
        <x:v>911.921208</x:v>
      </x:c>
      <x:c r="I335" s="22" t="str">
        <x:f>HYPERLINK("https://etp-aktiv.ru/catalog/materialy/metalloprodukciya/2000043579-U411/","Открыть позицию")</x:f>
        <x:v>Открыть позицию</x:v>
      </x:c>
    </x:row>
    <x:row r="336" ht="28" customHeight="1">
      <x:c r="A336" s="16" t="str">
        <x:v>Ново-Кемеровская ТЭЦ</x:v>
      </x:c>
      <x:c r="B336" s="16" t="str">
        <x:v>2000165127-U411</x:v>
      </x:c>
      <x:c r="C336" s="16" t="str">
        <x:v>УГОЛОК СТ3 63*63*6 ГОСТ8509-93</x:v>
      </x:c>
      <x:c r="D336" s="16" t="str">
        <x:v>Металлопрокат черный</x:v>
      </x:c>
      <x:c r="E336" s="16" t="str">
        <x:v>Т</x:v>
      </x:c>
      <x:c r="F336" s="30" t="n">
        <x:v>0.002</x:v>
      </x:c>
      <x:c r="G336" s="17" t="n">
        <x:v>29397.2298</x:v>
      </x:c>
      <x:c r="H336" s="17" t="n">
        <x:f>G336*F336</x:f>
        <x:v>58.7944596</x:v>
      </x:c>
      <x:c r="I336" s="22" t="str">
        <x:f>HYPERLINK("https://etp-aktiv.ru/catalog/materialy/metalloprodukciya/2000165127-U411/","Открыть позицию")</x:f>
        <x:v>Открыть позицию</x:v>
      </x:c>
    </x:row>
    <x:row r="337" ht="28" customHeight="1">
      <x:c r="A337" s="16" t="str">
        <x:v>Ново-Кемеровская ТЭЦ</x:v>
      </x:c>
      <x:c r="B337" s="16" t="str">
        <x:v>2000555878-U411</x:v>
      </x:c>
      <x:c r="C337" s="16" t="str">
        <x:v>УГОЛОК СТ3 70*5 ГОСТ8509-93</x:v>
      </x:c>
      <x:c r="D337" s="16" t="str">
        <x:v>Металлопрокат черный</x:v>
      </x:c>
      <x:c r="E337" s="16" t="str">
        <x:v>Т</x:v>
      </x:c>
      <x:c r="F337" s="30" t="n">
        <x:v>0.16</x:v>
      </x:c>
      <x:c r="G337" s="17" t="n">
        <x:v>42750.0078</x:v>
      </x:c>
      <x:c r="H337" s="17" t="n">
        <x:f>G337*F337</x:f>
        <x:v>6840.0012480000005</x:v>
      </x:c>
      <x:c r="I337" s="22" t="str">
        <x:f>HYPERLINK("https://etp-aktiv.ru/catalog/materialy/metalloprodukciya/2000555878-U411/","Открыть позицию")</x:f>
        <x:v>Открыть позицию</x:v>
      </x:c>
    </x:row>
    <x:row r="338" ht="28" customHeight="1">
      <x:c r="A338" s="16" t="str">
        <x:v>Ново-Кемеровская ТЭЦ</x:v>
      </x:c>
      <x:c r="B338" s="16" t="str">
        <x:v>2000147464-U411</x:v>
      </x:c>
      <x:c r="C338" s="16" t="str">
        <x:v>УГОЛОК СТ3ПС1 25*4 ГОСТ8509-93</x:v>
      </x:c>
      <x:c r="D338" s="16" t="str">
        <x:v>Металлопрокат черный</x:v>
      </x:c>
      <x:c r="E338" s="16" t="str">
        <x:v>Т</x:v>
      </x:c>
      <x:c r="F338" s="30" t="n">
        <x:v>0.027</x:v>
      </x:c>
      <x:c r="G338" s="17" t="n">
        <x:v>42750.0078</x:v>
      </x:c>
      <x:c r="H338" s="17" t="n">
        <x:f>G338*F338</x:f>
        <x:v>1154.2502106</x:v>
      </x:c>
      <x:c r="I338" s="22" t="str">
        <x:f>HYPERLINK("https://etp-aktiv.ru/catalog/materialy/metalloprodukciya/2000147464-U411/","Открыть позицию")</x:f>
        <x:v>Открыть позицию</x:v>
      </x:c>
    </x:row>
    <x:row r="339" ht="28" customHeight="1">
      <x:c r="A339" s="16" t="str">
        <x:v>Ново-Кемеровская ТЭЦ</x:v>
      </x:c>
      <x:c r="B339" s="16" t="str">
        <x:v>2000876980-U411</x:v>
      </x:c>
      <x:c r="C339" s="16" t="str">
        <x:v>ШАЙБА 12.65Г ГОСТ6402-70</x:v>
      </x:c>
      <x:c r="D339" s="16" t="str">
        <x:v>Метизы</x:v>
      </x:c>
      <x:c r="E339" s="16" t="str">
        <x:v>КГ</x:v>
      </x:c>
      <x:c r="F339" s="30" t="n">
        <x:v>0.985</x:v>
      </x:c>
      <x:c r="G339" s="17" t="n">
        <x:v>75.4936</x:v>
      </x:c>
      <x:c r="H339" s="17" t="n">
        <x:f>G339*F339</x:f>
        <x:v>74.361196</x:v>
      </x:c>
      <x:c r="I339" s="22" t="str">
        <x:f>HYPERLINK("https://etp-aktiv.ru/catalog/materialy/metizy/2000876980-U411/","Открыть позицию")</x:f>
        <x:v>Открыть позицию</x:v>
      </x:c>
    </x:row>
    <x:row r="340" ht="28" customHeight="1">
      <x:c r="A340" s="16" t="str">
        <x:v>Ново-Кемеровская ТЭЦ</x:v>
      </x:c>
      <x:c r="B340" s="16" t="str">
        <x:v>2000648218-U411</x:v>
      </x:c>
      <x:c r="C340" s="16" t="str">
        <x:v>ШАЙБА 12Л 65Г 029 ГОСТ6402-70</x:v>
      </x:c>
      <x:c r="D340" s="16" t="str">
        <x:v>Метизы</x:v>
      </x:c>
      <x:c r="E340" s="16" t="str">
        <x:v>КГ</x:v>
      </x:c>
      <x:c r="F340" s="30" t="n">
        <x:v>0.8</x:v>
      </x:c>
      <x:c r="G340" s="17" t="n">
        <x:v>457.5</x:v>
      </x:c>
      <x:c r="H340" s="17" t="n">
        <x:f>G340*F340</x:f>
        <x:v>366</x:v>
      </x:c>
      <x:c r="I340" s="22" t="str">
        <x:f>HYPERLINK("https://etp-aktiv.ru/catalog/materialy/metizy/2000648218-U411/","Открыть позицию")</x:f>
        <x:v>Открыть позицию</x:v>
      </x:c>
    </x:row>
    <x:row r="341" ht="28" customHeight="1">
      <x:c r="A341" s="16" t="str">
        <x:v>Ново-Кемеровская ТЭЦ</x:v>
      </x:c>
      <x:c r="B341" s="16" t="str">
        <x:v>2000723900-U411</x:v>
      </x:c>
      <x:c r="C341" s="16" t="str">
        <x:v>ШАЙБА 16 65Г ГОСТ6402-70</x:v>
      </x:c>
      <x:c r="D341" s="16" t="str">
        <x:v>Метизы специализированные и под заказ</x:v>
      </x:c>
      <x:c r="E341" s="16" t="str">
        <x:v>КГ</x:v>
      </x:c>
      <x:c r="F341" s="21" t="n">
        <x:v>2</x:v>
      </x:c>
      <x:c r="G341" s="17" t="n">
        <x:v>182.39</x:v>
      </x:c>
      <x:c r="H341" s="17" t="n">
        <x:f>G341*F341</x:f>
        <x:v>364.78</x:v>
      </x:c>
      <x:c r="I341" s="22" t="str">
        <x:f>HYPERLINK("https://etp-aktiv.ru/catalog/materialy/metizy/2000723900-U411/","Открыть позицию")</x:f>
        <x:v>Открыть позицию</x:v>
      </x:c>
    </x:row>
    <x:row r="342" ht="28" customHeight="1">
      <x:c r="A342" s="16" t="str">
        <x:v>Ново-Кемеровская ТЭЦ</x:v>
      </x:c>
      <x:c r="B342" s="16" t="str">
        <x:v>2000949908-U411</x:v>
      </x:c>
      <x:c r="C342" s="16" t="str">
        <x:v>ШАЙБА M24 25,4*50*2,5 B ОКСИД DIN2093</x:v>
      </x:c>
      <x:c r="D342" s="16" t="str">
        <x:v>Метизы</x:v>
      </x:c>
      <x:c r="E342" s="16" t="str">
        <x:v>КГ</x:v>
      </x:c>
      <x:c r="F342" s="21" t="n">
        <x:v>2</x:v>
      </x:c>
      <x:c r="G342" s="17" t="n">
        <x:v>73.8954</x:v>
      </x:c>
      <x:c r="H342" s="17" t="n">
        <x:f>G342*F342</x:f>
        <x:v>147.7908</x:v>
      </x:c>
      <x:c r="I342" s="22" t="str">
        <x:f>HYPERLINK("https://etp-aktiv.ru/catalog/materialy/metizy/2000949908-U411/","Открыть позицию")</x:f>
        <x:v>Открыть позицию</x:v>
      </x:c>
    </x:row>
    <x:row r="343" ht="28" customHeight="1">
      <x:c r="A343" s="16" t="str">
        <x:v>Ново-Кемеровская ТЭЦ</x:v>
      </x:c>
      <x:c r="B343" s="16" t="str">
        <x:v>2000330706-U411</x:v>
      </x:c>
      <x:c r="C343" s="16" t="str">
        <x:v>ШАЙБА М8 08.КП ГОСТ11371-78</x:v>
      </x:c>
      <x:c r="D343" s="16" t="str">
        <x:v>Метизы</x:v>
      </x:c>
      <x:c r="E343" s="16" t="str">
        <x:v>КГ</x:v>
      </x:c>
      <x:c r="F343" s="30" t="n">
        <x:v>0.19</x:v>
      </x:c>
      <x:c r="G343" s="17" t="n">
        <x:v>89.95060000000001</x:v>
      </x:c>
      <x:c r="H343" s="17" t="n">
        <x:f>G343*F343</x:f>
        <x:v>17.090614000000002</x:v>
      </x:c>
      <x:c r="I343" s="22" t="str">
        <x:f>HYPERLINK("https://etp-aktiv.ru/catalog/materialy/metizy/2000330706-U411/","Открыть позицию")</x:f>
        <x:v>Открыть позицию</x:v>
      </x:c>
    </x:row>
    <x:row r="344" ht="28" customHeight="1">
      <x:c r="A344" s="16" t="str">
        <x:v>Ново-Кемеровская ТЭЦ</x:v>
      </x:c>
      <x:c r="B344" s="16" t="str">
        <x:v>2000530288-U411</x:v>
      </x:c>
      <x:c r="C344" s="16" t="str">
        <x:v>ШАЙБА ПРУЖИННАЯ 1.20 СТ65Г ГОСТ6402</x:v>
      </x:c>
      <x:c r="D344" s="16" t="str">
        <x:v>Метизы</x:v>
      </x:c>
      <x:c r="E344" s="16" t="str">
        <x:v>КГ</x:v>
      </x:c>
      <x:c r="F344" s="29" t="n">
        <x:v>4.155</x:v>
      </x:c>
      <x:c r="G344" s="17" t="n">
        <x:v>58.1574</x:v>
      </x:c>
      <x:c r="H344" s="17" t="n">
        <x:f>G344*F344</x:f>
        <x:v>241.643997</x:v>
      </x:c>
      <x:c r="I344" s="22" t="str">
        <x:f>HYPERLINK("https://etp-aktiv.ru/catalog/materialy/metizy/2000530288-U411/","Открыть позицию")</x:f>
        <x:v>Открыть позицию</x:v>
      </x:c>
    </x:row>
    <x:row r="345" ht="28" customHeight="1">
      <x:c r="A345" s="16" t="str">
        <x:v>Ново-Кемеровская ТЭЦ</x:v>
      </x:c>
      <x:c r="B345" s="16" t="str">
        <x:v>2000530296-U411</x:v>
      </x:c>
      <x:c r="C345" s="16" t="str">
        <x:v>ШАЙБА ПРУЖИННАЯ 1.30 СТ65Г ГОСТ6402</x:v>
      </x:c>
      <x:c r="D345" s="16" t="str">
        <x:v>Метизы</x:v>
      </x:c>
      <x:c r="E345" s="16" t="str">
        <x:v>КГ</x:v>
      </x:c>
      <x:c r="F345" s="29" t="n">
        <x:v>3.1</x:v>
      </x:c>
      <x:c r="G345" s="17" t="n">
        <x:v>75.1764</x:v>
      </x:c>
      <x:c r="H345" s="17" t="n">
        <x:f>G345*F345</x:f>
        <x:v>233.04684</x:v>
      </x:c>
      <x:c r="I345" s="22" t="str">
        <x:f>HYPERLINK("https://etp-aktiv.ru/catalog/materialy/metizy/2000530296-U411/","Открыть позицию")</x:f>
        <x:v>Открыть позицию</x:v>
      </x:c>
    </x:row>
    <x:row r="346" ht="28" customHeight="1">
      <x:c r="A346" s="16" t="str">
        <x:v>Ново-Кемеровская ТЭЦ</x:v>
      </x:c>
      <x:c r="B346" s="16" t="str">
        <x:v>2000292642-U411</x:v>
      </x:c>
      <x:c r="C346" s="16" t="str">
        <x:v>ШАЙБА УСИЛЕННАЯ ШМ6У DIN934</x:v>
      </x:c>
      <x:c r="D346" s="16" t="str">
        <x:v>Метизы</x:v>
      </x:c>
      <x:c r="E346" s="16" t="str">
        <x:v>КГ</x:v>
      </x:c>
      <x:c r="F346" s="21" t="n">
        <x:v>1</x:v>
      </x:c>
      <x:c r="G346" s="17" t="n">
        <x:v>148.23</x:v>
      </x:c>
      <x:c r="H346" s="17" t="n">
        <x:f>G346*F346</x:f>
        <x:v>148.23</x:v>
      </x:c>
      <x:c r="I346" s="22" t="str">
        <x:f>HYPERLINK("https://etp-aktiv.ru/catalog/materialy/metizy/2000292642-U411/","Открыть позицию")</x:f>
        <x:v>Открыть позицию</x:v>
      </x:c>
    </x:row>
    <x:row r="347" ht="28" customHeight="1">
      <x:c r="A347" s="16" t="str">
        <x:v>Ново-Кемеровская ТЭЦ</x:v>
      </x:c>
      <x:c r="B347" s="16" t="str">
        <x:v>2000148212-U411</x:v>
      </x:c>
      <x:c r="C347" s="16" t="str">
        <x:v>ШВЕЛЛЕР СТ3 12П ГОСТ8240-97</x:v>
      </x:c>
      <x:c r="D347" s="16" t="str">
        <x:v>Металлопрокат черный</x:v>
      </x:c>
      <x:c r="E347" s="16" t="str">
        <x:v>Т</x:v>
      </x:c>
      <x:c r="F347" s="30" t="n">
        <x:v>0.052</x:v>
      </x:c>
      <x:c r="G347" s="17" t="n">
        <x:v>42750.0078</x:v>
      </x:c>
      <x:c r="H347" s="17" t="n">
        <x:f>G347*F347</x:f>
        <x:v>2223.0004056</x:v>
      </x:c>
      <x:c r="I347" s="22" t="str">
        <x:f>HYPERLINK("https://etp-aktiv.ru/catalog/materialy/metalloprodukciya/2000148212-U411/","Открыть позицию")</x:f>
        <x:v>Открыть позицию</x:v>
      </x:c>
    </x:row>
    <x:row r="348" ht="28" customHeight="1">
      <x:c r="A348" s="16" t="str">
        <x:v>Ново-Кемеровская ТЭЦ</x:v>
      </x:c>
      <x:c r="B348" s="16" t="str">
        <x:v>2000923874-U411</x:v>
      </x:c>
      <x:c r="C348" s="16" t="str">
        <x:v>ШВЕЛЛЕР СТ3 33П ГОСТ8240-97</x:v>
      </x:c>
      <x:c r="D348" s="16" t="str">
        <x:v>Металлопрокат черный</x:v>
      </x:c>
      <x:c r="E348" s="16" t="str">
        <x:v>Т</x:v>
      </x:c>
      <x:c r="F348" s="30" t="n">
        <x:v>0.227</x:v>
      </x:c>
      <x:c r="G348" s="17" t="n">
        <x:v>63287.487799999995</x:v>
      </x:c>
      <x:c r="H348" s="17" t="n">
        <x:f>G348*F348</x:f>
        <x:v>14366.259730599999</x:v>
      </x:c>
      <x:c r="I348" s="22" t="str">
        <x:f>HYPERLINK("https://etp-aktiv.ru/catalog/materialy/metalloprodukciya/2000923874-U411/","Открыть позицию")</x:f>
        <x:v>Открыть позицию</x:v>
      </x:c>
    </x:row>
    <x:row r="349" ht="28" customHeight="1">
      <x:c r="A349" s="16" t="str">
        <x:v>Ново-Кемеровская ТЭЦ</x:v>
      </x:c>
      <x:c r="B349" s="16" t="str">
        <x:v>2000151358-U411</x:v>
      </x:c>
      <x:c r="C349" s="16" t="str">
        <x:v>ШВЕЛЛЕР СТ3СП5 16У ГОСТ8240-97</x:v>
      </x:c>
      <x:c r="D349" s="16" t="str">
        <x:v>Металлопрокат черный</x:v>
      </x:c>
      <x:c r="E349" s="16" t="str">
        <x:v>Т</x:v>
      </x:c>
      <x:c r="F349" s="30" t="n">
        <x:v>0.08</x:v>
      </x:c>
      <x:c r="G349" s="17" t="n">
        <x:v>24601.3732</x:v>
      </x:c>
      <x:c r="H349" s="17" t="n">
        <x:f>G349*F349</x:f>
        <x:v>1968.1098560000003</x:v>
      </x:c>
      <x:c r="I349" s="22" t="str">
        <x:f>HYPERLINK("https://etp-aktiv.ru/catalog/materialy/metalloprodukciya/2000151358-U411/","Открыть позицию")</x:f>
        <x:v>Открыть позицию</x:v>
      </x:c>
    </x:row>
    <x:row r="350" ht="28" customHeight="1">
      <x:c r="A350" s="16" t="str">
        <x:v>Ново-Кемеровская ТЭЦ</x:v>
      </x:c>
      <x:c r="B350" s="16" t="str">
        <x:v>2000147445-U411</x:v>
      </x:c>
      <x:c r="C350" s="16" t="str">
        <x:v>ШЕСТИГРАННИК 12Х1МФ 30ММ ГОСТ20072-74</x:v>
      </x:c>
      <x:c r="D350" s="16" t="str">
        <x:v>Металлопрокат из нержавеющей стали</x:v>
      </x:c>
      <x:c r="E350" s="16" t="str">
        <x:v>Т</x:v>
      </x:c>
      <x:c r="F350" s="30" t="n">
        <x:v>0.102</x:v>
      </x:c>
      <x:c r="G350" s="17" t="n">
        <x:v>76774.19739999999</x:v>
      </x:c>
      <x:c r="H350" s="17" t="n">
        <x:f>G350*F350</x:f>
        <x:v>7830.968134799999</x:v>
      </x:c>
      <x:c r="I350" s="22" t="str">
        <x:f>HYPERLINK("https://etp-aktiv.ru/catalog/materialy/metalloprodukciya/2000147445-U411/","Открыть позицию")</x:f>
        <x:v>Открыть позицию</x:v>
      </x:c>
    </x:row>
    <x:row r="351" ht="28" customHeight="1">
      <x:c r="A351" s="16" t="str">
        <x:v>Ново-Кемеровская ТЭЦ</x:v>
      </x:c>
      <x:c r="B351" s="16" t="str">
        <x:v>2000147448-U411</x:v>
      </x:c>
      <x:c r="C351" s="16" t="str">
        <x:v>ШЕСТИГРАННИК 12Х1МФ 46 ГОСТ20072-74</x:v>
      </x:c>
      <x:c r="D351" s="16" t="str">
        <x:v>Металлопрокат из нержавеющей стали</x:v>
      </x:c>
      <x:c r="E351" s="16" t="str">
        <x:v>Т</x:v>
      </x:c>
      <x:c r="F351" s="30" t="n">
        <x:v>0.04</x:v>
      </x:c>
      <x:c r="G351" s="17" t="n">
        <x:v>419985</x:v>
      </x:c>
      <x:c r="H351" s="17" t="n">
        <x:f>G351*F351</x:f>
        <x:v>16799.4</x:v>
      </x:c>
      <x:c r="I351" s="22" t="str">
        <x:f>HYPERLINK("https://etp-aktiv.ru/catalog/materialy/metalloprodukciya/2000147448-U411/","Открыть позицию")</x:f>
        <x:v>Открыть позицию</x:v>
      </x:c>
    </x:row>
    <x:row r="352" ht="28" customHeight="1">
      <x:c r="A352" s="16" t="str">
        <x:v>Ново-Кемеровская ТЭЦ</x:v>
      </x:c>
      <x:c r="B352" s="16" t="str">
        <x:v>2000015420-U411</x:v>
      </x:c>
      <x:c r="C352" s="16" t="str">
        <x:v>ШЕСТИГРАННИК СТ20 17ММ ГОСТ2879-88</x:v>
      </x:c>
      <x:c r="D352" s="16" t="str">
        <x:v>Металлопрокат прочий</x:v>
      </x:c>
      <x:c r="E352" s="16" t="str">
        <x:v>Т</x:v>
      </x:c>
      <x:c r="F352" s="30" t="n">
        <x:v>0.024</x:v>
      </x:c>
      <x:c r="G352" s="17" t="n">
        <x:v>41499.9958</x:v>
      </x:c>
      <x:c r="H352" s="17" t="n">
        <x:f>G352*F352</x:f>
        <x:v>995.9998992</x:v>
      </x:c>
      <x:c r="I352" s="22" t="str">
        <x:f>HYPERLINK("https://etp-aktiv.ru/catalog/materialy/metalloprodukciya/2000015420-U411/","Открыть позицию")</x:f>
        <x:v>Открыть позицию</x:v>
      </x:c>
    </x:row>
    <x:row r="353" ht="28" customHeight="1">
      <x:c r="A353" s="16" t="str">
        <x:v>Ново-Кемеровская ТЭЦ</x:v>
      </x:c>
      <x:c r="B353" s="16" t="str">
        <x:v>2000015464-U411</x:v>
      </x:c>
      <x:c r="C353" s="16" t="str">
        <x:v>ШЕСТИГРАННИК СТ20 46ММ ГОСТ2879-88</x:v>
      </x:c>
      <x:c r="D353" s="16" t="str">
        <x:v>Металлопрокат черный</x:v>
      </x:c>
      <x:c r="E353" s="16" t="str">
        <x:v>Т</x:v>
      </x:c>
      <x:c r="F353" s="30" t="n">
        <x:v>0.074</x:v>
      </x:c>
      <x:c r="G353" s="17" t="n">
        <x:v>43477.225399999996</x:v>
      </x:c>
      <x:c r="H353" s="17" t="n">
        <x:f>G353*F353</x:f>
        <x:v>3217.3146795999996</x:v>
      </x:c>
      <x:c r="I353" s="22" t="str">
        <x:f>HYPERLINK("https://etp-aktiv.ru/catalog/materialy/metalloprodukciya/2000015464-U411/","Открыть позицию")</x:f>
        <x:v>Открыть позицию</x:v>
      </x:c>
    </x:row>
    <x:row r="354" ht="28" customHeight="1">
      <x:c r="A354" s="16" t="str">
        <x:v>Ново-Кемеровская ТЭЦ</x:v>
      </x:c>
      <x:c r="B354" s="16" t="str">
        <x:v>2000015421-U411</x:v>
      </x:c>
      <x:c r="C354" s="16" t="str">
        <x:v>ШЕСТИГРАННИК СТ35 14ММ ГОСТ2879-88</x:v>
      </x:c>
      <x:c r="D354" s="16" t="str">
        <x:v>Металлопрокат прочий</x:v>
      </x:c>
      <x:c r="E354" s="16" t="str">
        <x:v>Т</x:v>
      </x:c>
      <x:c r="F354" s="30" t="n">
        <x:v>0.009</x:v>
      </x:c>
      <x:c r="G354" s="17" t="n">
        <x:v>66642.5</x:v>
      </x:c>
      <x:c r="H354" s="17" t="n">
        <x:f>G354*F354</x:f>
        <x:v>599.7824999999999</x:v>
      </x:c>
      <x:c r="I354" s="22" t="str">
        <x:f>HYPERLINK("https://etp-aktiv.ru/catalog/materialy/metalloprodukciya/2000015421-U411/","Открыть позицию")</x:f>
        <x:v>Открыть позицию</x:v>
      </x:c>
    </x:row>
    <x:row r="355" ht="28" customHeight="1">
      <x:c r="A355" s="16" t="str">
        <x:v>Ново-Кемеровская ТЭЦ</x:v>
      </x:c>
      <x:c r="B355" s="16" t="str">
        <x:v>2000015422-U411</x:v>
      </x:c>
      <x:c r="C355" s="16" t="str">
        <x:v>ШЕСТИГРАННИК СТ35 17ММ ГОСТ2879-88</x:v>
      </x:c>
      <x:c r="D355" s="16" t="str">
        <x:v>Металлопрокат прочий</x:v>
      </x:c>
      <x:c r="E355" s="16" t="str">
        <x:v>Т</x:v>
      </x:c>
      <x:c r="F355" s="30" t="n">
        <x:v>0.027</x:v>
      </x:c>
      <x:c r="G355" s="17" t="n">
        <x:v>43234.4942</x:v>
      </x:c>
      <x:c r="H355" s="17" t="n">
        <x:f>G355*F355</x:f>
        <x:v>1167.3313434</x:v>
      </x:c>
      <x:c r="I355" s="22" t="str">
        <x:f>HYPERLINK("https://etp-aktiv.ru/catalog/materialy/metalloprodukciya/2000015422-U411/","Открыть позицию")</x:f>
        <x:v>Открыть позицию</x:v>
      </x:c>
    </x:row>
    <x:row r="356" ht="28" customHeight="1">
      <x:c r="A356" s="16" t="str">
        <x:v>Ново-Кемеровская ТЭЦ</x:v>
      </x:c>
      <x:c r="B356" s="16" t="str">
        <x:v>2000141684-U411</x:v>
      </x:c>
      <x:c r="C356" s="16" t="str">
        <x:v>ШЕСТИГРАННИК СТ35 19ММ ГОСТ2879-88</x:v>
      </x:c>
      <x:c r="D356" s="16" t="str">
        <x:v>М/прокат прочий</x:v>
      </x:c>
      <x:c r="E356" s="16" t="str">
        <x:v>Т</x:v>
      </x:c>
      <x:c r="F356" s="30" t="n">
        <x:v>0.039</x:v>
      </x:c>
      <x:c r="G356" s="17" t="n">
        <x:v>13328.5</x:v>
      </x:c>
      <x:c r="H356" s="17" t="n">
        <x:f>G356*F356</x:f>
        <x:v>519.8115</x:v>
      </x:c>
      <x:c r="I356" s="22" t="str">
        <x:f>HYPERLINK("https://etp-aktiv.ru/catalog/materialy/metalloprodukciya/2000141684-U411/","Открыть позицию")</x:f>
        <x:v>Открыть позицию</x:v>
      </x:c>
    </x:row>
    <x:row r="357" ht="28" customHeight="1">
      <x:c r="A357" s="16" t="str">
        <x:v>Ново-Кемеровская ТЭЦ</x:v>
      </x:c>
      <x:c r="B357" s="16" t="str">
        <x:v>2000499074-U411</x:v>
      </x:c>
      <x:c r="C357" s="16" t="str">
        <x:v>ШИНА М1Т 20*3*4000 ГОСТ434-78</x:v>
      </x:c>
      <x:c r="D357" s="16" t="str">
        <x:v>Металлопрокат цветной</x:v>
      </x:c>
      <x:c r="E357" s="16" t="str">
        <x:v>КГ</x:v>
      </x:c>
      <x:c r="F357" s="30" t="n">
        <x:v>0.4</x:v>
      </x:c>
      <x:c r="G357" s="17" t="n">
        <x:v>1093.0834</x:v>
      </x:c>
      <x:c r="H357" s="17" t="n">
        <x:f>G357*F357</x:f>
        <x:v>437.23336</x:v>
      </x:c>
      <x:c r="I357" s="22" t="str">
        <x:f>HYPERLINK("https://etp-aktiv.ru/catalog/materialy/metalloprodukciya/2000499074-U411/","Открыть позицию")</x:f>
        <x:v>Открыть позицию</x:v>
      </x:c>
    </x:row>
    <x:row r="358" ht="28" customHeight="1">
      <x:c r="A358" s="16" t="str">
        <x:v>Ново-Кемеровская ТЭЦ</x:v>
      </x:c>
      <x:c r="B358" s="16" t="str">
        <x:v>2000907079-U411</x:v>
      </x:c>
      <x:c r="C358" s="16" t="str">
        <x:v>ШПИЛЬКА АМ27-6G*420.79.30ХМА.IV.2 Г9066</x:v>
      </x:c>
      <x:c r="D358" s="16" t="str">
        <x:v>Метизы специализированные и под заказ</x:v>
      </x:c>
      <x:c r="E358" s="16" t="str">
        <x:v>КГ</x:v>
      </x:c>
      <x:c r="F358" s="21" t="n">
        <x:v>450</x:v>
      </x:c>
      <x:c r="G358" s="17" t="n">
        <x:v>162.6748</x:v>
      </x:c>
      <x:c r="H358" s="17" t="n">
        <x:f>G358*F358</x:f>
        <x:v>73203.66</x:v>
      </x:c>
      <x:c r="I358" s="22" t="str">
        <x:f>HYPERLINK("https://etp-aktiv.ru/catalog/materialy/metizy/2000907079-U411/","Открыть позицию")</x:f>
        <x:v>Открыть позицию</x:v>
      </x:c>
    </x:row>
    <x:row r="359" ht="28" customHeight="1">
      <x:c r="A359" s="16" t="str">
        <x:v>Ново-Кемеровская ТЭЦ</x:v>
      </x:c>
      <x:c r="B359" s="16" t="str">
        <x:v>2000717022-U411</x:v>
      </x:c>
      <x:c r="C359" s="16" t="str">
        <x:v>ШПЛИНТ 3,2*28 ГОСТ397-79</x:v>
      </x:c>
      <x:c r="D359" s="16" t="str">
        <x:v>Метизы специализированные и под заказ</x:v>
      </x:c>
      <x:c r="E359" s="16" t="str">
        <x:v>КГ</x:v>
      </x:c>
      <x:c r="F359" s="30" t="n">
        <x:v>0.5</x:v>
      </x:c>
      <x:c r="G359" s="17" t="n">
        <x:v>107.05499999999999</x:v>
      </x:c>
      <x:c r="H359" s="17" t="n">
        <x:f>G359*F359</x:f>
        <x:v>53.527499999999996</x:v>
      </x:c>
      <x:c r="I359" s="22" t="str">
        <x:f>HYPERLINK("https://etp-aktiv.ru/catalog/materialy/metizy/2000717022-U411/","Открыть позицию")</x:f>
        <x:v>Открыть позицию</x:v>
      </x:c>
    </x:row>
    <x:row r="360" ht="28" customHeight="1">
      <x:c r="A360" s="16" t="str">
        <x:v>Ново-Кемеровская ТЭЦ</x:v>
      </x:c>
      <x:c r="B360" s="16" t="str">
        <x:v>2000068523-U411</x:v>
      </x:c>
      <x:c r="C360" s="16" t="str">
        <x:v>ШПЛИНТ 3,2*40 ГОСТ397-79</x:v>
      </x:c>
      <x:c r="D360" s="16" t="str">
        <x:v>Метизы специализированные и под заказ</x:v>
      </x:c>
      <x:c r="E360" s="16" t="str">
        <x:v>КГ</x:v>
      </x:c>
      <x:c r="F360" s="21" t="n">
        <x:v>2</x:v>
      </x:c>
      <x:c r="G360" s="17" t="n">
        <x:v>107.3356</x:v>
      </x:c>
      <x:c r="H360" s="17" t="n">
        <x:f>G360*F360</x:f>
        <x:v>214.6712</x:v>
      </x:c>
      <x:c r="I360" s="22" t="str">
        <x:f>HYPERLINK("https://etp-aktiv.ru/catalog/materialy/metizy/2000068523-U411/","Открыть позицию")</x:f>
        <x:v>Открыть позицию</x:v>
      </x:c>
    </x:row>
    <x:row r="361" ht="28" customHeight="1">
      <x:c r="A361" s="16" t="str">
        <x:v>Ново-Кемеровская ТЭЦ</x:v>
      </x:c>
      <x:c r="B361" s="16" t="str">
        <x:v>2000277768-U411</x:v>
      </x:c>
      <x:c r="C361" s="16" t="str">
        <x:v>ШПЛИНТ 4*40 ГОСТ397-79</x:v>
      </x:c>
      <x:c r="D361" s="16" t="str">
        <x:v>Метизы специализированные и под заказ</x:v>
      </x:c>
      <x:c r="E361" s="16" t="str">
        <x:v>КГ</x:v>
      </x:c>
      <x:c r="F361" s="30" t="n">
        <x:v>0.4</x:v>
      </x:c>
      <x:c r="G361" s="17" t="n">
        <x:v>109.8</x:v>
      </x:c>
      <x:c r="H361" s="17" t="n">
        <x:f>G361*F361</x:f>
        <x:v>43.92</x:v>
      </x:c>
      <x:c r="I361" s="22" t="str">
        <x:f>HYPERLINK("https://etp-aktiv.ru/catalog/materialy/metizy/2000277768-U411/","Открыть позицию")</x:f>
        <x:v>Открыть позицию</x:v>
      </x:c>
    </x:row>
    <x:row r="362" ht="28" customHeight="1">
      <x:c r="A362" s="16" t="str">
        <x:v>Ново-Кемеровская ТЭЦ</x:v>
      </x:c>
      <x:c r="B362" s="16" t="str">
        <x:v>2000621375-U411</x:v>
      </x:c>
      <x:c r="C362" s="16" t="str">
        <x:v>ЭЛЕКТРОД ESAB УОНИИ 13/55 3ММ ГОСТ2560-А</x:v>
      </x:c>
      <x:c r="D362" s="16" t="str">
        <x:v>Сварочные электроды</x:v>
      </x:c>
      <x:c r="E362" s="16" t="str">
        <x:v>Т</x:v>
      </x:c>
      <x:c r="F362" s="30" t="n">
        <x:v>0.061</x:v>
      </x:c>
      <x:c r="G362" s="17" t="n">
        <x:v>85635.5576</x:v>
      </x:c>
      <x:c r="H362" s="17" t="n">
        <x:f>G362*F362</x:f>
        <x:v>5223.7690136</x:v>
      </x:c>
      <x:c r="I362" s="22" t="str">
        <x:f>HYPERLINK("https://etp-aktiv.ru/catalog/materialy/svarochnye-ehlektrody/2000621375-U411/","Открыть позицию")</x:f>
        <x:v>Открыть позицию</x:v>
      </x:c>
    </x:row>
    <x:row r="363" ht="28" customHeight="1">
      <x:c r="A363" s="16" t="str">
        <x:v>Ново-Кемеровская ТЭЦ</x:v>
      </x:c>
      <x:c r="B363" s="16" t="str">
        <x:v>2000695254-U411</x:v>
      </x:c>
      <x:c r="C363" s="16" t="str">
        <x:v>ЭЛЕКТРОД WL-15 2*175ММ ГОСТ23949-80</x:v>
      </x:c>
      <x:c r="D363" s="16" t="str">
        <x:v>Сварочные электроды</x:v>
      </x:c>
      <x:c r="E363" s="16" t="str">
        <x:v>ШТ</x:v>
      </x:c>
      <x:c r="F363" s="21" t="n">
        <x:v>100</x:v>
      </x:c>
      <x:c r="G363" s="17" t="n">
        <x:v>134.7002</x:v>
      </x:c>
      <x:c r="H363" s="17" t="n">
        <x:f>G363*F363</x:f>
        <x:v>13470.02</x:v>
      </x:c>
      <x:c r="I363" s="22" t="str">
        <x:f>HYPERLINK("https://etp-aktiv.ru/catalog/materialy/svarochnye-ehlektrody/2000695254-U411/","Открыть позицию")</x:f>
        <x:v>Открыть позицию</x:v>
      </x:c>
    </x:row>
    <x:row r="364" ht="28" customHeight="1">
      <x:c r="A364" s="16" t="str">
        <x:v>Ново-Кемеровская ТЭЦ</x:v>
      </x:c>
      <x:c r="B364" s="16" t="str">
        <x:v>2000015573-U411</x:v>
      </x:c>
      <x:c r="C364" s="16" t="str">
        <x:v>ЭЛЕКТРОД МР-3 4ММ ГОСТ9466-75</x:v>
      </x:c>
      <x:c r="D364" s="16" t="str">
        <x:v>Сварочные электроды</x:v>
      </x:c>
      <x:c r="E364" s="16" t="str">
        <x:v>Т</x:v>
      </x:c>
      <x:c r="F364" s="30" t="n">
        <x:v>0.292</x:v>
      </x:c>
      <x:c r="G364" s="17" t="n">
        <x:v>99571.77620000001</x:v>
      </x:c>
      <x:c r="H364" s="17" t="n">
        <x:f>G364*F364</x:f>
        <x:v>29074.9586504</x:v>
      </x:c>
      <x:c r="I364" s="22" t="str">
        <x:f>HYPERLINK("https://etp-aktiv.ru/catalog/materialy/svarochnye-ehlektrody/2000015573-U411/","Открыть позицию")</x:f>
        <x:v>Открыть позицию</x:v>
      </x:c>
    </x:row>
    <x:row r="365" ht="28" customHeight="1">
      <x:c r="A365" s="16" t="str">
        <x:v>Ново-Кемеровская ТЭЦ</x:v>
      </x:c>
      <x:c r="B365" s="16" t="str">
        <x:v>2000740550-U411</x:v>
      </x:c>
      <x:c r="C365" s="16" t="str">
        <x:v>ЭЛЕКТРОД МР-3 4ММ ГОСТ9466-75 (КГ)</x:v>
      </x:c>
      <x:c r="D365" s="16" t="str">
        <x:v>Сварочные электроды</x:v>
      </x:c>
      <x:c r="E365" s="16" t="str">
        <x:v>КГ</x:v>
      </x:c>
      <x:c r="F365" s="29" t="n">
        <x:v>5.5</x:v>
      </x:c>
      <x:c r="G365" s="17" t="n">
        <x:v>78.9706</x:v>
      </x:c>
      <x:c r="H365" s="17" t="n">
        <x:f>G365*F365</x:f>
        <x:v>434.3383</x:v>
      </x:c>
      <x:c r="I365" s="22" t="str">
        <x:f>HYPERLINK("https://etp-aktiv.ru/catalog/materialy/svarochnye-ehlektrody/2000740550-U411/","Открыть позицию")</x:f>
        <x:v>Открыть позицию</x:v>
      </x:c>
    </x:row>
    <x:row r="366" ht="28" customHeight="1">
      <x:c r="A366" s="16" t="str">
        <x:v>Ново-Кемеровская ТЭЦ</x:v>
      </x:c>
      <x:c r="B366" s="16" t="str">
        <x:v>2000016861-U411</x:v>
      </x:c>
      <x:c r="C366" s="16" t="str">
        <x:v>ЭЛЕКТРОД Т-590 4ММ ГОСТ9466-75</x:v>
      </x:c>
      <x:c r="D366" s="16" t="str">
        <x:v>Сварочные электроды</x:v>
      </x:c>
      <x:c r="E366" s="16" t="str">
        <x:v>Т</x:v>
      </x:c>
      <x:c r="F366" s="30" t="n">
        <x:v>0.057</x:v>
      </x:c>
      <x:c r="G366" s="17" t="n">
        <x:v>129640.4452</x:v>
      </x:c>
      <x:c r="H366" s="17" t="n">
        <x:f>G366*F366</x:f>
        <x:v>7389.5053764</x:v>
      </x:c>
      <x:c r="I366" s="22" t="str">
        <x:f>HYPERLINK("https://etp-aktiv.ru/catalog/materialy/svarochnye-ehlektrody/2000016861-U411/","Открыть позицию")</x:f>
        <x:v>Открыть позицию</x:v>
      </x:c>
    </x:row>
    <x:row r="367" ht="28" customHeight="1">
      <x:c r="A367" s="16" t="str">
        <x:v>Ново-Кемеровская ТЭЦ</x:v>
      </x:c>
      <x:c r="B367" s="16" t="str">
        <x:v>2000137763-U411</x:v>
      </x:c>
      <x:c r="C367" s="16" t="str">
        <x:v>ЭЛЕКТРОД ТМЛ-3У 4ММ ТУ1272-022-0105589</x:v>
      </x:c>
      <x:c r="D367" s="16" t="str">
        <x:v>Сварочные электроды</x:v>
      </x:c>
      <x:c r="E367" s="16" t="str">
        <x:v>Т</x:v>
      </x:c>
      <x:c r="F367" s="30" t="n">
        <x:v>0.057</x:v>
      </x:c>
      <x:c r="G367" s="17" t="n">
        <x:v>183000</x:v>
      </x:c>
      <x:c r="H367" s="17" t="n">
        <x:f>G367*F367</x:f>
        <x:v>10431</x:v>
      </x:c>
      <x:c r="I367" s="22" t="str">
        <x:f>HYPERLINK("https://etp-aktiv.ru/catalog/materialy/svarochnye-ehlektrody/2000137763-U411/","Открыть позицию")</x:f>
        <x:v>Открыть позицию</x:v>
      </x:c>
    </x:row>
    <x:row r="368" ht="28" customHeight="1">
      <x:c r="A368" s="16" t="str">
        <x:v>Ново-Кемеровская ТЭЦ</x:v>
      </x:c>
      <x:c r="B368" s="16" t="str">
        <x:v>2000167857-U411</x:v>
      </x:c>
      <x:c r="C368" s="16" t="str">
        <x:v>ЭЛЕКТРОД ТМЛ-5 3ММ</x:v>
      </x:c>
      <x:c r="D368" s="16" t="str">
        <x:v>Сварочные электроды</x:v>
      </x:c>
      <x:c r="E368" s="16" t="str">
        <x:v>Т</x:v>
      </x:c>
      <x:c r="F368" s="30" t="n">
        <x:v>0.01</x:v>
      </x:c>
      <x:c r="G368" s="17" t="n">
        <x:v>186090.7602</x:v>
      </x:c>
      <x:c r="H368" s="17" t="n">
        <x:f>G368*F368</x:f>
        <x:v>1860.907602</x:v>
      </x:c>
      <x:c r="I368" s="22" t="str">
        <x:f>HYPERLINK("https://etp-aktiv.ru/catalog/materialy/svarochnye-ehlektrody/2000167857-U411/","Открыть позицию")</x:f>
        <x:v>Открыть позицию</x:v>
      </x:c>
    </x:row>
    <x:row r="369" ht="28" customHeight="1">
      <x:c r="A369" s="16" t="str">
        <x:v>Ново-Кемеровская ТЭЦ</x:v>
      </x:c>
      <x:c r="B369" s="16" t="str">
        <x:v>2000546305-U411</x:v>
      </x:c>
      <x:c r="C369" s="16" t="str">
        <x:v>ЭЛЕКТРОД УОНИ 13/45 3ММ ГОСТ9466-75</x:v>
      </x:c>
      <x:c r="D369" s="16" t="str">
        <x:v>Сварочные электроды</x:v>
      </x:c>
      <x:c r="E369" s="16" t="str">
        <x:v>КГ</x:v>
      </x:c>
      <x:c r="F369" s="29" t="n">
        <x:v>31.5</x:v>
      </x:c>
      <x:c r="G369" s="17" t="n">
        <x:v>84.363</x:v>
      </x:c>
      <x:c r="H369" s="17" t="n">
        <x:f>G369*F369</x:f>
        <x:v>2657.4345</x:v>
      </x:c>
      <x:c r="I369" s="22" t="str">
        <x:f>HYPERLINK("https://etp-aktiv.ru/catalog/materialy/svarochnye-ehlektrody/2000546305-U411/","Открыть позицию")</x:f>
        <x:v>Открыть позицию</x:v>
      </x:c>
    </x:row>
    <x:row r="370" ht="28" customHeight="1">
      <x:c r="A370" s="16" t="str">
        <x:v>Ново-Кемеровская ТЭЦ</x:v>
      </x:c>
      <x:c r="B370" s="16" t="str">
        <x:v>2000546307-U411</x:v>
      </x:c>
      <x:c r="C370" s="16" t="str">
        <x:v>ЭЛЕКТРОД УОНИ 13/45А 3ММ ГОСТ9466-75</x:v>
      </x:c>
      <x:c r="D370" s="16" t="str">
        <x:v>Сварочные электроды</x:v>
      </x:c>
      <x:c r="E370" s="16" t="str">
        <x:v>КГ</x:v>
      </x:c>
      <x:c r="F370" s="21" t="n">
        <x:v>3</x:v>
      </x:c>
      <x:c r="G370" s="17" t="n">
        <x:v>86.09539999999998</x:v>
      </x:c>
      <x:c r="H370" s="17" t="n">
        <x:f>G370*F370</x:f>
        <x:v>258.28619999999995</x:v>
      </x:c>
      <x:c r="I370" s="22" t="str">
        <x:f>HYPERLINK("https://etp-aktiv.ru/catalog/materialy/svarochnye-ehlektrody/2000546307-U411/","Открыть позицию")</x:f>
        <x:v>Открыть позицию</x:v>
      </x:c>
    </x:row>
    <x:row r="371" ht="28" customHeight="1">
      <x:c r="A371" s="16" t="str">
        <x:v>Ново-Кемеровская ТЭЦ</x:v>
      </x:c>
      <x:c r="B371" s="16" t="str">
        <x:v>2000546308-U411</x:v>
      </x:c>
      <x:c r="C371" s="16" t="str">
        <x:v>ЭЛЕКТРОД УОНИ 13/45А 4ММ ГОСТ9466-75</x:v>
      </x:c>
      <x:c r="D371" s="16" t="str">
        <x:v>Сварочные электроды</x:v>
      </x:c>
      <x:c r="E371" s="16" t="str">
        <x:v>КГ</x:v>
      </x:c>
      <x:c r="F371" s="21" t="n">
        <x:v>30</x:v>
      </x:c>
      <x:c r="G371" s="17" t="n">
        <x:v>19.9714</x:v>
      </x:c>
      <x:c r="H371" s="17" t="n">
        <x:f>G371*F371</x:f>
        <x:v>599.1419999999999</x:v>
      </x:c>
      <x:c r="I371" s="22" t="str">
        <x:f>HYPERLINK("https://etp-aktiv.ru/catalog/materialy/svarochnye-ehlektrody/2000546308-U411/","Открыть позицию")</x:f>
        <x:v>Открыть позицию</x:v>
      </x:c>
    </x:row>
    <x:row r="372" ht="28" customHeight="1">
      <x:c r="A372" s="16" t="str">
        <x:v>Ново-Кемеровская ТЭЦ</x:v>
      </x:c>
      <x:c r="B372" s="16" t="str">
        <x:v>2000546309-U411</x:v>
      </x:c>
      <x:c r="C372" s="16" t="str">
        <x:v>ЭЛЕКТРОД УОНИ 13/55 2,5ММ ГОСТ9466-75</x:v>
      </x:c>
      <x:c r="D372" s="16" t="str">
        <x:v>Сварочные электроды</x:v>
      </x:c>
      <x:c r="E372" s="16" t="str">
        <x:v>Т</x:v>
      </x:c>
      <x:c r="F372" s="30" t="n">
        <x:v>0.021</x:v>
      </x:c>
      <x:c r="G372" s="17" t="n">
        <x:v>59409.973999999995</x:v>
      </x:c>
      <x:c r="H372" s="17" t="n">
        <x:f>G372*F372</x:f>
        <x:v>1247.609454</x:v>
      </x:c>
      <x:c r="I372" s="22" t="str">
        <x:f>HYPERLINK("https://etp-aktiv.ru/catalog/materialy/svarochnye-ehlektrody/2000546309-U411/","Открыть позицию")</x:f>
        <x:v>Открыть позицию</x:v>
      </x:c>
    </x:row>
    <x:row r="373" ht="28" customHeight="1">
      <x:c r="A373" s="16" t="str">
        <x:v>Ново-Кемеровская ТЭЦ</x:v>
      </x:c>
      <x:c r="B373" s="16" t="str">
        <x:v>2000015694-U411</x:v>
      </x:c>
      <x:c r="C373" s="16" t="str">
        <x:v>ЭЛЕКТРОД УОНИ-13/45 3ММ ГОСТ9466-75</x:v>
      </x:c>
      <x:c r="D373" s="16" t="str">
        <x:v>Сварочные электроды</x:v>
      </x:c>
      <x:c r="E373" s="16" t="str">
        <x:v>Т</x:v>
      </x:c>
      <x:c r="F373" s="30" t="n">
        <x:v>0.077</x:v>
      </x:c>
      <x:c r="G373" s="17" t="n">
        <x:v>86925.8662</x:v>
      </x:c>
      <x:c r="H373" s="17" t="n">
        <x:f>G373*F373</x:f>
        <x:v>6693.2916974</x:v>
      </x:c>
      <x:c r="I373" s="22" t="str">
        <x:f>HYPERLINK("https://etp-aktiv.ru/catalog/materialy/svarochnye-ehlektrody/2000015694-U411/","Открыть позицию")</x:f>
        <x:v>Открыть позицию</x:v>
      </x:c>
    </x:row>
    <x:row r="374" ht="28" customHeight="1">
      <x:c r="A374" s="16" t="str">
        <x:v>Ново-Кемеровская ТЭЦ</x:v>
      </x:c>
      <x:c r="B374" s="16" t="str">
        <x:v>2000314397-U411</x:v>
      </x:c>
      <x:c r="C374" s="16" t="str">
        <x:v>ЭЛЕКТРОД УОНИ-13/55 2ММ ГОСТ9466-76</x:v>
      </x:c>
      <x:c r="D374" s="16" t="str">
        <x:v>Сварочные электроды</x:v>
      </x:c>
      <x:c r="E374" s="16" t="str">
        <x:v>Т</x:v>
      </x:c>
      <x:c r="F374" s="30" t="n">
        <x:v>0.02</x:v>
      </x:c>
      <x:c r="G374" s="17" t="n">
        <x:v>120784.4652</x:v>
      </x:c>
      <x:c r="H374" s="17" t="n">
        <x:f>G374*F374</x:f>
        <x:v>2415.689304</x:v>
      </x:c>
      <x:c r="I374" s="22" t="str">
        <x:f>HYPERLINK("https://etp-aktiv.ru/catalog/materialy/svarochnye-ehlektrody/2000314397-U411/","Открыть позицию")</x:f>
        <x:v>Открыть позицию</x:v>
      </x:c>
    </x:row>
    <x:row r="375" ht="28" customHeight="1">
      <x:c r="A375" s="16" t="str">
        <x:v>Ново-Кемеровская ТЭЦ</x:v>
      </x:c>
      <x:c r="B375" s="16" t="str">
        <x:v>2000546316-U411</x:v>
      </x:c>
      <x:c r="C375" s="16" t="str">
        <x:v>ЭЛЕКТРОД ЦЛ-11 3ММ ГОСТ9466-75 (КГ)</x:v>
      </x:c>
      <x:c r="D375" s="16" t="str">
        <x:v>Сварочные электроды</x:v>
      </x:c>
      <x:c r="E375" s="16" t="str">
        <x:v>КГ</x:v>
      </x:c>
      <x:c r="F375" s="29" t="n">
        <x:v>36.5</x:v>
      </x:c>
      <x:c r="G375" s="17" t="n">
        <x:v>518.5</x:v>
      </x:c>
      <x:c r="H375" s="17" t="n">
        <x:f>G375*F375</x:f>
        <x:v>18925.25</x:v>
      </x:c>
      <x:c r="I375" s="22" t="str">
        <x:f>HYPERLINK("https://etp-aktiv.ru/catalog/materialy/svarochnye-ehlektrody/2000546316-U411/","Открыть позицию")</x:f>
        <x:v>Открыть позицию</x:v>
      </x:c>
    </x:row>
    <x:row r="376" ht="28" customHeight="1">
      <x:c r="A376" s="16" t="str">
        <x:v>Ново-Кемеровская ТЭЦ</x:v>
      </x:c>
      <x:c r="B376" s="16" t="str">
        <x:v>2000017996-U411</x:v>
      </x:c>
      <x:c r="C376" s="16" t="str">
        <x:v>ЭЛЕКТРОД ЦЛ-11 4ММ ГОСТ9466-75</x:v>
      </x:c>
      <x:c r="D376" s="16" t="str">
        <x:v>Сварочные электроды</x:v>
      </x:c>
      <x:c r="E376" s="16" t="str">
        <x:v>Т</x:v>
      </x:c>
      <x:c r="F376" s="30" t="n">
        <x:v>0.065</x:v>
      </x:c>
      <x:c r="G376" s="17" t="n">
        <x:v>518500</x:v>
      </x:c>
      <x:c r="H376" s="17" t="n">
        <x:f>G376*F376</x:f>
        <x:v>33702.5</x:v>
      </x:c>
      <x:c r="I376" s="22" t="str">
        <x:f>HYPERLINK("https://etp-aktiv.ru/catalog/materialy/svarochnye-ehlektrody/2000017996-U411/","Открыть позицию")</x:f>
        <x:v>Открыть позицию</x:v>
      </x:c>
    </x:row>
    <x:row r="377" ht="28" customHeight="1">
      <x:c r="A377" s="16" t="str">
        <x:v>Ново-Кемеровская ТЭЦ</x:v>
      </x:c>
      <x:c r="B377" s="16" t="str">
        <x:v>2000017956-U411</x:v>
      </x:c>
      <x:c r="C377" s="16" t="str">
        <x:v>ЭЛЕКТРОД ЦЛ-11 5ММ ГОСТ9466-75</x:v>
      </x:c>
      <x:c r="D377" s="16" t="str">
        <x:v>Сварочные электроды</x:v>
      </x:c>
      <x:c r="E377" s="16" t="str">
        <x:v>Т</x:v>
      </x:c>
      <x:c r="F377" s="30" t="n">
        <x:v>0.01</x:v>
      </x:c>
      <x:c r="G377" s="17" t="n">
        <x:v>229893.75</x:v>
      </x:c>
      <x:c r="H377" s="17" t="n">
        <x:f>G377*F377</x:f>
        <x:v>2298.9375</x:v>
      </x:c>
      <x:c r="I377" s="22" t="str">
        <x:f>HYPERLINK("https://etp-aktiv.ru/catalog/materialy/svarochnye-ehlektrody/2000017956-U411/","Открыть позицию")</x:f>
        <x:v>Открыть позицию</x:v>
      </x:c>
    </x:row>
    <x:row r="378" ht="28" customHeight="1">
      <x:c r="A378" s="16" t="str">
        <x:v>Ново-Кемеровская ТЭЦ</x:v>
      </x:c>
      <x:c r="B378" s="16" t="str">
        <x:v>2000546317-U411</x:v>
      </x:c>
      <x:c r="C378" s="16" t="str">
        <x:v>ЭЛЕКТРОД ЦЛ-20 3ММ ГОСТ9466-75</x:v>
      </x:c>
      <x:c r="D378" s="16" t="str">
        <x:v>Сварочные электроды</x:v>
      </x:c>
      <x:c r="E378" s="16" t="str">
        <x:v>КГ</x:v>
      </x:c>
      <x:c r="F378" s="21" t="n">
        <x:v>22</x:v>
      </x:c>
      <x:c r="G378" s="17" t="n">
        <x:v>110.49539999999999</x:v>
      </x:c>
      <x:c r="H378" s="17" t="n">
        <x:f>G378*F378</x:f>
        <x:v>2430.8988</x:v>
      </x:c>
      <x:c r="I378" s="22" t="str">
        <x:f>HYPERLINK("https://etp-aktiv.ru/catalog/materialy/svarochnye-ehlektrody/2000546317-U411/","Открыть позицию")</x:f>
        <x:v>Открыть позицию</x:v>
      </x:c>
    </x:row>
    <x:row r="379" ht="28" customHeight="1">
      <x:c r="A379" s="16" t="str">
        <x:v>Ново-Кемеровская ТЭЦ</x:v>
      </x:c>
      <x:c r="B379" s="16" t="str">
        <x:v>2000546318-U411</x:v>
      </x:c>
      <x:c r="C379" s="16" t="str">
        <x:v>ЭЛЕКТРОД ЦЛ-20 4ММ ГОСТ9466-75</x:v>
      </x:c>
      <x:c r="D379" s="16" t="str">
        <x:v>Сварочные электроды</x:v>
      </x:c>
      <x:c r="E379" s="16" t="str">
        <x:v>КГ</x:v>
      </x:c>
      <x:c r="F379" s="21" t="n">
        <x:v>30</x:v>
      </x:c>
      <x:c r="G379" s="17" t="n">
        <x:v>109.8244</x:v>
      </x:c>
      <x:c r="H379" s="17" t="n">
        <x:f>G379*F379</x:f>
        <x:v>3294.732</x:v>
      </x:c>
      <x:c r="I379" s="22" t="str">
        <x:f>HYPERLINK("https://etp-aktiv.ru/catalog/materialy/svarochnye-ehlektrody/2000546318-U411/","Открыть позицию")</x:f>
        <x:v>Открыть позицию</x:v>
      </x:c>
    </x:row>
    <x:row r="380" ht="28" customHeight="1">
      <x:c r="A380" s="16" t="str">
        <x:v>Ново-Кемеровская ТЭЦ</x:v>
      </x:c>
      <x:c r="B380" s="16" t="str">
        <x:v>2000546322-U411</x:v>
      </x:c>
      <x:c r="C380" s="16" t="str">
        <x:v>ЭЛЕКТРОД ЦН-6Л 3ММ ГОСТ9466-75</x:v>
      </x:c>
      <x:c r="D380" s="16" t="str">
        <x:v>Сварочные электроды</x:v>
      </x:c>
      <x:c r="E380" s="16" t="str">
        <x:v>Т</x:v>
      </x:c>
      <x:c r="F380" s="30" t="n">
        <x:v>0.015</x:v>
      </x:c>
      <x:c r="G380" s="17" t="n">
        <x:v>711514.065</x:v>
      </x:c>
      <x:c r="H380" s="17" t="n">
        <x:f>G380*F380</x:f>
        <x:v>10672.710974999998</x:v>
      </x:c>
      <x:c r="I380" s="22" t="str">
        <x:f>HYPERLINK("https://etp-aktiv.ru/catalog/materialy/svarochnye-ehlektrody/2000546322-U411/","Открыть позицию")</x:f>
        <x:v>Открыть позицию</x:v>
      </x:c>
    </x:row>
    <x:row r="381" ht="28" customHeight="1">
      <x:c r="A381" s="16" t="str">
        <x:v>Ново-Кемеровская ТЭЦ</x:v>
      </x:c>
      <x:c r="B381" s="16" t="str">
        <x:v>2000546323-U411</x:v>
      </x:c>
      <x:c r="C381" s="16" t="str">
        <x:v>ЭЛЕКТРОД ЦН-6Л 4ММ ГОСТ9466-75</x:v>
      </x:c>
      <x:c r="D381" s="16" t="str">
        <x:v>Сварочные электроды</x:v>
      </x:c>
      <x:c r="E381" s="16" t="str">
        <x:v>КГ</x:v>
      </x:c>
      <x:c r="F381" s="21" t="n">
        <x:v>14</x:v>
      </x:c>
      <x:c r="G381" s="17" t="n">
        <x:v>606.6572</x:v>
      </x:c>
      <x:c r="H381" s="17" t="n">
        <x:f>G381*F381</x:f>
        <x:v>8493.2008</x:v>
      </x:c>
      <x:c r="I381" s="22" t="str">
        <x:f>HYPERLINK("https://etp-aktiv.ru/catalog/materialy/svarochnye-ehlektrody/2000546323-U411/","Открыть позицию")</x:f>
        <x:v>Открыть позицию</x:v>
      </x:c>
    </x:row>
    <x:row r="382" ht="28" customHeight="1">
      <x:c r="A382" s="16" t="str">
        <x:v>Ново-Кемеровская ТЭЦ</x:v>
      </x:c>
      <x:c r="B382" s="16" t="str">
        <x:v>2000546325-U411</x:v>
      </x:c>
      <x:c r="C382" s="16" t="str">
        <x:v>ЭЛЕКТРОД ЦТ-15 2,5ММ ГОСТ9466-75</x:v>
      </x:c>
      <x:c r="D382" s="16" t="str">
        <x:v>Сварочные электроды</x:v>
      </x:c>
      <x:c r="E382" s="16" t="str">
        <x:v>КГ</x:v>
      </x:c>
      <x:c r="F382" s="29" t="n">
        <x:v>8.495</x:v>
      </x:c>
      <x:c r="G382" s="17" t="n">
        <x:v>518.5</x:v>
      </x:c>
      <x:c r="H382" s="17" t="n">
        <x:f>G382*F382</x:f>
        <x:v>4404.657499999999</x:v>
      </x:c>
      <x:c r="I382" s="22" t="str">
        <x:f>HYPERLINK("https://etp-aktiv.ru/catalog/materialy/svarochnye-ehlektrody/2000546325-U411/","Открыть позицию")</x:f>
        <x:v>Открыть позицию</x:v>
      </x:c>
    </x:row>
    <x:row r="383" ht="28" customHeight="1">
      <x:c r="A383" s="16" t="str">
        <x:v>Ново-Кемеровская ТЭЦ</x:v>
      </x:c>
      <x:c r="B383" s="16" t="str">
        <x:v>2000546326-U411</x:v>
      </x:c>
      <x:c r="C383" s="16" t="str">
        <x:v>ЭЛЕКТРОД ЦТ-15 3ММ ГОСТ9466-75</x:v>
      </x:c>
      <x:c r="D383" s="16" t="str">
        <x:v>Сварочные электроды</x:v>
      </x:c>
      <x:c r="E383" s="16" t="str">
        <x:v>КГ</x:v>
      </x:c>
      <x:c r="F383" s="29" t="n">
        <x:v>32.8</x:v>
      </x:c>
      <x:c r="G383" s="17" t="n">
        <x:v>518.5</x:v>
      </x:c>
      <x:c r="H383" s="17" t="n">
        <x:f>G383*F383</x:f>
        <x:v>17006.8</x:v>
      </x:c>
      <x:c r="I383" s="22" t="str">
        <x:f>HYPERLINK("https://etp-aktiv.ru/catalog/materialy/svarochnye-ehlektrody/2000546326-U411/","Открыть позицию")</x:f>
        <x:v>Открыть позицию</x:v>
      </x:c>
    </x:row>
    <x:row r="384" ht="28" customHeight="1">
      <x:c r="A384" s="16" t="str">
        <x:v>Ново-Кемеровская ТЭЦ</x:v>
      </x:c>
      <x:c r="B384" s="16" t="str">
        <x:v>2000546327-U411</x:v>
      </x:c>
      <x:c r="C384" s="16" t="str">
        <x:v>ЭЛЕКТРОД ЦТ-15 4ММ ГОСТ9466-75</x:v>
      </x:c>
      <x:c r="D384" s="16" t="str">
        <x:v>Сварочные электроды</x:v>
      </x:c>
      <x:c r="E384" s="16" t="str">
        <x:v>Т</x:v>
      </x:c>
      <x:c r="F384" s="30" t="n">
        <x:v>0.018</x:v>
      </x:c>
      <x:c r="G384" s="17" t="n">
        <x:v>533864.7532</x:v>
      </x:c>
      <x:c r="H384" s="17" t="n">
        <x:f>G384*F384</x:f>
        <x:v>9609.565557599999</x:v>
      </x:c>
      <x:c r="I384" s="22" t="str">
        <x:f>HYPERLINK("https://etp-aktiv.ru/catalog/materialy/svarochnye-ehlektrody/2000546327-U411/","Открыть позицию")</x:f>
        <x:v>Открыть позицию</x:v>
      </x:c>
    </x:row>
    <x:row r="385" ht="28" customHeight="1">
      <x:c r="A385" s="16" t="str">
        <x:v>Ново-Кемеровская ТЭЦ</x:v>
      </x:c>
      <x:c r="B385" s="16" t="str">
        <x:v>2000546328-U411</x:v>
      </x:c>
      <x:c r="C385" s="16" t="str">
        <x:v>ЭЛЕКТРОД ЦТ-28 3ММ ГОСТ9466-75</x:v>
      </x:c>
      <x:c r="D385" s="16" t="str">
        <x:v>Сварочные электроды</x:v>
      </x:c>
      <x:c r="E385" s="16" t="str">
        <x:v>Т</x:v>
      </x:c>
      <x:c r="F385" s="30" t="n">
        <x:v>0.01</x:v>
      </x:c>
      <x:c r="G385" s="17" t="n">
        <x:v>4017555.2332</x:v>
      </x:c>
      <x:c r="H385" s="17" t="n">
        <x:f>G385*F385</x:f>
        <x:v>40175.552332</x:v>
      </x:c>
      <x:c r="I385" s="22" t="str">
        <x:f>HYPERLINK("https://etp-aktiv.ru/catalog/materialy/svarochnye-ehlektrody/2000546328-U411/","Открыть позицию")</x:f>
        <x:v>Открыть позицию</x:v>
      </x:c>
    </x:row>
    <x:row r="386" ht="28" customHeight="1">
      <x:c r="A386" s="16" t="str">
        <x:v>Ново-Кемеровская ТЭЦ</x:v>
      </x:c>
      <x:c r="B386" s="16" t="str">
        <x:v>2000546329-U411</x:v>
      </x:c>
      <x:c r="C386" s="16" t="str">
        <x:v>ЭЛЕКТРОД ЦТ-28 4ММ ГОСТ9466-75</x:v>
      </x:c>
      <x:c r="D386" s="16" t="str">
        <x:v>Сварочные электроды</x:v>
      </x:c>
      <x:c r="E386" s="16" t="str">
        <x:v>Т</x:v>
      </x:c>
      <x:c r="F386" s="30" t="n">
        <x:v>0.005</x:v>
      </x:c>
      <x:c r="G386" s="17" t="n">
        <x:v>4408249.0336</x:v>
      </x:c>
      <x:c r="H386" s="17" t="n">
        <x:f>G386*F386</x:f>
        <x:v>22041.245167999998</x:v>
      </x:c>
      <x:c r="I386" s="22" t="str">
        <x:f>HYPERLINK("https://etp-aktiv.ru/catalog/materialy/svarochnye-ehlektrody/2000546329-U411/","Открыть позицию")</x:f>
        <x:v>Открыть позицию</x:v>
      </x:c>
    </x:row>
    <x:row r="387" ht="28" customHeight="1">
      <x:c r="A387" s="16" t="str">
        <x:v>Ново-Кемеровская ТЭЦ</x:v>
      </x:c>
      <x:c r="B387" s="16" t="str">
        <x:v>2000018289-U411</x:v>
      </x:c>
      <x:c r="C387" s="16" t="str">
        <x:v>ЭЛЕКТРОД ЦЧ-4 3ММ ГОСТ9466-75</x:v>
      </x:c>
      <x:c r="D387" s="16" t="str">
        <x:v>Сварочные электроды</x:v>
      </x:c>
      <x:c r="E387" s="16" t="str">
        <x:v>Т</x:v>
      </x:c>
      <x:c r="F387" s="30" t="n">
        <x:v>0.005</x:v>
      </x:c>
      <x:c r="G387" s="17" t="n">
        <x:v>195000.0054</x:v>
      </x:c>
      <x:c r="H387" s="17" t="n">
        <x:f>G387*F387</x:f>
        <x:v>975.000027</x:v>
      </x:c>
      <x:c r="I387" s="22" t="str">
        <x:f>HYPERLINK("https://etp-aktiv.ru/catalog/materialy/svarochnye-ehlektrody/2000018289-U411/","Открыть позицию")</x:f>
        <x:v>Открыть позицию</x:v>
      </x:c>
    </x:row>
    <x:row r="388" ht="28" customHeight="1">
      <x:c r="A388" s="16" t="str">
        <x:v>Ново-Кемеровская ТЭЦ</x:v>
      </x:c>
      <x:c r="B388" s="16" t="str">
        <x:v>2000018273-U411</x:v>
      </x:c>
      <x:c r="C388" s="16" t="str">
        <x:v>ЭЛЕКТРОД ЦЧ-4 4ММ ГОСТ9466-75</x:v>
      </x:c>
      <x:c r="D388" s="16" t="str">
        <x:v>Сварочные электроды</x:v>
      </x:c>
      <x:c r="E388" s="16" t="str">
        <x:v>Т</x:v>
      </x:c>
      <x:c r="F388" s="30" t="n">
        <x:v>0.015</x:v>
      </x:c>
      <x:c r="G388" s="17" t="n">
        <x:v>294569.1586</x:v>
      </x:c>
      <x:c r="H388" s="17" t="n">
        <x:f>G388*F388</x:f>
        <x:v>4418.537379</x:v>
      </x:c>
      <x:c r="I388" s="22" t="str">
        <x:f>HYPERLINK("https://etp-aktiv.ru/catalog/materialy/svarochnye-ehlektrody/2000018273-U411/","Открыть позицию")</x:f>
        <x:v>Открыть позицию</x:v>
      </x:c>
    </x:row>
    <x:row r="389" ht="28" customHeight="1">
      <x:c r="A389" s="16" t="str">
        <x:v>Ново-Кемеровская ТЭЦ</x:v>
      </x:c>
      <x:c r="B389" s="16" t="str">
        <x:v>2000142160-U411</x:v>
      </x:c>
      <x:c r="C389" s="16" t="str">
        <x:v>ЭЛЕКТРОД ЭА-395/9 3ММ ГОСТ9466-75</x:v>
      </x:c>
      <x:c r="D389" s="16" t="str">
        <x:v>Сварочные электроды</x:v>
      </x:c>
      <x:c r="E389" s="16" t="str">
        <x:v>Т</x:v>
      </x:c>
      <x:c r="F389" s="30" t="n">
        <x:v>0.009</x:v>
      </x:c>
      <x:c r="G389" s="17" t="n">
        <x:v>1363559.6814000001</x:v>
      </x:c>
      <x:c r="H389" s="17" t="n">
        <x:f>G389*F389</x:f>
        <x:v>12272.0371326</x:v>
      </x:c>
      <x:c r="I389" s="22" t="str">
        <x:f>HYPERLINK("https://etp-aktiv.ru/catalog/materialy/svarochnye-ehlektrody/2000142160-U411/","Открыть позицию")</x:f>
        <x:v>Открыть позицию</x:v>
      </x:c>
    </x:row>
    <x:row r="390" ht="28" customHeight="1">
      <x:c r="A390" s="16" t="str">
        <x:v>Ново-Кемеровская ТЭЦ</x:v>
      </x:c>
      <x:c r="B390" s="16" t="str">
        <x:v>2000018469-U411</x:v>
      </x:c>
      <x:c r="C390" s="16" t="str">
        <x:v>ЭЛЕКТРОД ЭА-395/9 4ММ ГОСТ9466-75</x:v>
      </x:c>
      <x:c r="D390" s="16" t="str">
        <x:v>Сварочные электроды</x:v>
      </x:c>
      <x:c r="E390" s="16" t="str">
        <x:v>Т</x:v>
      </x:c>
      <x:c r="F390" s="30" t="n">
        <x:v>0.007</x:v>
      </x:c>
      <x:c r="G390" s="17" t="n">
        <x:v>671623.0661999999</x:v>
      </x:c>
      <x:c r="H390" s="17" t="n">
        <x:f>G390*F390</x:f>
        <x:v>4701.3614634</x:v>
      </x:c>
      <x:c r="I390" s="22" t="str">
        <x:f>HYPERLINK("https://etp-aktiv.ru/catalog/materialy/svarochnye-ehlektrody/2000018469-U411/","Открыть позицию")</x:f>
        <x:v>Открыть позицию</x:v>
      </x:c>
    </x:row>
    <x:row r="391" ht="28" customHeight="1">
      <x:c r="A391" s="16" t="str">
        <x:v>Ново-Кемеровская ТЭЦ</x:v>
      </x:c>
      <x:c r="B391" s="16" t="str">
        <x:v>2000018467-U411</x:v>
      </x:c>
      <x:c r="C391" s="16" t="str">
        <x:v>ЭЛЕКТРОД ЭА-395/9 5ММ ГОСТ9466-75</x:v>
      </x:c>
      <x:c r="D391" s="16" t="str">
        <x:v>Сварочные электроды</x:v>
      </x:c>
      <x:c r="E391" s="16" t="str">
        <x:v>Т</x:v>
      </x:c>
      <x:c r="F391" s="30" t="n">
        <x:v>0.01</x:v>
      </x:c>
      <x:c r="G391" s="17" t="n">
        <x:v>689885.7586</x:v>
      </x:c>
      <x:c r="H391" s="17" t="n">
        <x:f>G391*F391</x:f>
        <x:v>6898.857585999999</x:v>
      </x:c>
      <x:c r="I391" s="22" t="str">
        <x:f>HYPERLINK("https://etp-aktiv.ru/catalog/materialy/svarochnye-ehlektrody/2000018467-U411/","Открыть позицию")</x:f>
        <x:v>Открыть позицию</x:v>
      </x:c>
    </x:row>
    <x:row r="392" ht="28" customHeight="1">
      <x:c r="A392" s="16" t="str">
        <x:v>Ново-Кемеровская ТЭЦ</x:v>
      </x:c>
      <x:c r="B392" s="16" t="str">
        <x:v>2000549854-U411</x:v>
      </x:c>
      <x:c r="C392" s="16" t="str">
        <x:v>ЭЛЕКТРОДОДЕРЖАТЕЛЬ HANDY 300 300А</x:v>
      </x:c>
      <x:c r="D392" s="16" t="str">
        <x:v>Комплектующие и запасные части к сварочному оборудованию</x:v>
      </x:c>
      <x:c r="E392" s="16" t="str">
        <x:v>ШТ</x:v>
      </x:c>
      <x:c r="F392" s="21" t="n">
        <x:v>1</x:v>
      </x:c>
      <x:c r="G392" s="17" t="n">
        <x:v>534.4576</x:v>
      </x:c>
      <x:c r="H392" s="17" t="n">
        <x:f>G392*F392</x:f>
        <x:v>534.4576</x:v>
      </x:c>
      <x:c r="I392" s="22" t="str">
        <x:f>HYPERLINK("https://etp-aktiv.ru/catalog/materialy/zapasnye-chasti-promyshlennogo-oborudovaniya/2000549854-U411/","Открыть позицию")</x:f>
        <x:v>Открыть позицию</x:v>
      </x:c>
    </x:row>
    <x:row r="393" ht="28" customHeight="1">
      <x:c r="A393" s="16" t="str">
        <x:v>Ново-Кемеровская ТЭЦ</x:v>
      </x:c>
      <x:c r="B393" s="16" t="str">
        <x:v>2000546303-U411</x:v>
      </x:c>
      <x:c r="C393" s="16" t="str">
        <x:v>ЭЛЕКТРОДЫ СВАРОЧНЫЕ ТМЛ-5 4ММ</x:v>
      </x:c>
      <x:c r="D393" s="16" t="str">
        <x:v>Сварочные электроды</x:v>
      </x:c>
      <x:c r="E393" s="16" t="str">
        <x:v>Т</x:v>
      </x:c>
      <x:c r="F393" s="30" t="n">
        <x:v>0.07</x:v>
      </x:c>
      <x:c r="G393" s="17" t="n">
        <x:v>189445.28439999997</x:v>
      </x:c>
      <x:c r="H393" s="17" t="n">
        <x:f>G393*F393</x:f>
        <x:v>13261.169908</x:v>
      </x:c>
      <x:c r="I393" s="22" t="str">
        <x:f>HYPERLINK("https://etp-aktiv.ru/catalog/materialy/svarochnye-ehlektrody/2000546303-U411/","Открыть позицию")</x:f>
        <x:v>Открыть позицию</x:v>
      </x:c>
    </x:row>
    <x:row r="394" ht="28" customHeight="1">
      <x:c r="A394" s="16" t="str">
        <x:v>Томь-Усинская ГРЭС</x:v>
      </x:c>
      <x:c r="B394" s="16" t="str">
        <x:v>2000068404-U111</x:v>
      </x:c>
      <x:c r="C394" s="16" t="str">
        <x:v>БОЛТ М12*35 ГОСТ7805-70</x:v>
      </x:c>
      <x:c r="D394" s="16" t="str">
        <x:v>Метизы</x:v>
      </x:c>
      <x:c r="E394" s="16" t="str">
        <x:v>КГ</x:v>
      </x:c>
      <x:c r="F394" s="21" t="n">
        <x:v>2</x:v>
      </x:c>
      <x:c r="G394" s="17" t="n">
        <x:v>57.913399999999996</x:v>
      </x:c>
      <x:c r="H394" s="17" t="n">
        <x:f>G394*F394</x:f>
        <x:v>115.82679999999999</x:v>
      </x:c>
      <x:c r="I394" s="22" t="str">
        <x:f>HYPERLINK("https://etp-aktiv.ru/catalog/materialy/metizy/2000068404-U111/","Открыть позицию")</x:f>
        <x:v>Открыть позицию</x:v>
      </x:c>
    </x:row>
    <x:row r="395" ht="28" customHeight="1">
      <x:c r="A395" s="16" t="str">
        <x:v>Томь-Усинская ГРЭС</x:v>
      </x:c>
      <x:c r="B395" s="16" t="str">
        <x:v>2000216244-U111</x:v>
      </x:c>
      <x:c r="C395" s="16" t="str">
        <x:v>ГОРЕЛКА ГАЗОВАЯ ГК-5</x:v>
      </x:c>
      <x:c r="D395" s="16" t="str">
        <x:v>Инструмент и спецоснастка специализированные, нестандартные</x:v>
      </x:c>
      <x:c r="E395" s="16" t="str">
        <x:v>ШТ</x:v>
      </x:c>
      <x:c r="F395" s="21" t="n">
        <x:v>1</x:v>
      </x:c>
      <x:c r="G395" s="17" t="n">
        <x:v>790.9381999999999</x:v>
      </x:c>
      <x:c r="H395" s="17" t="n">
        <x:f>G395*F395</x:f>
        <x:v>790.9381999999999</x:v>
      </x:c>
      <x:c r="I395" s="22" t="str">
        <x:f>HYPERLINK("https://etp-aktiv.ru/catalog/materialy/instrument-i-specosnastka/2000216244-U111/","Открыть позицию")</x:f>
        <x:v>Открыть позицию</x:v>
      </x:c>
    </x:row>
    <x:row r="396" ht="28" customHeight="1">
      <x:c r="A396" s="16" t="str">
        <x:v>Томь-Усинская ГРЭС</x:v>
      </x:c>
      <x:c r="B396" s="16" t="str">
        <x:v>2000068532-U111</x:v>
      </x:c>
      <x:c r="C396" s="16" t="str">
        <x:v>ЗАКЛЕПКА 6*20 ГОСТ10300-80</x:v>
      </x:c>
      <x:c r="D396" s="16" t="str">
        <x:v>Метизы специализированные и под заказ</x:v>
      </x:c>
      <x:c r="E396" s="16" t="str">
        <x:v>КГ</x:v>
      </x:c>
      <x:c r="F396" s="21" t="n">
        <x:v>2</x:v>
      </x:c>
      <x:c r="G396" s="17" t="n">
        <x:v>472.14</x:v>
      </x:c>
      <x:c r="H396" s="17" t="n">
        <x:f>G396*F396</x:f>
        <x:v>944.28</x:v>
      </x:c>
      <x:c r="I396" s="22" t="str">
        <x:f>HYPERLINK("https://etp-aktiv.ru/catalog/materialy/metizy/2000068532-U111/","Открыть позицию")</x:f>
        <x:v>Открыть позицию</x:v>
      </x:c>
    </x:row>
    <x:row r="397" ht="28" customHeight="1">
      <x:c r="A397" s="16" t="str">
        <x:v>Томь-Усинская ГРЭС</x:v>
      </x:c>
      <x:c r="B397" s="16" t="str">
        <x:v>2000549761-U111</x:v>
      </x:c>
      <x:c r="C397" s="16" t="str">
        <x:v>КЛАПАН АЗТ-10-4/250 (КС 7104-01) DУ4 250</x:v>
      </x:c>
      <x:c r="D397" s="16" t="str">
        <x:v>Комплектующие и запасные части к сварочному оборудованию</x:v>
      </x:c>
      <x:c r="E397" s="16" t="str">
        <x:v>ШТ</x:v>
      </x:c>
      <x:c r="F397" s="21" t="n">
        <x:v>10</x:v>
      </x:c>
      <x:c r="G397" s="17" t="n">
        <x:v>2761.9824</x:v>
      </x:c>
      <x:c r="H397" s="17" t="n">
        <x:f>G397*F397</x:f>
        <x:v>27619.824</x:v>
      </x:c>
      <x:c r="I397" s="22" t="str">
        <x:f>HYPERLINK("https://etp-aktiv.ru/catalog/materialy/zapasnye-chasti-promyshlennogo-oborudovaniya/2000549761-U111/","Открыть позицию")</x:f>
        <x:v>Открыть позицию</x:v>
      </x:c>
    </x:row>
    <x:row r="398" ht="28" customHeight="1">
      <x:c r="A398" s="16" t="str">
        <x:v>Томь-Усинская ГРЭС</x:v>
      </x:c>
      <x:c r="B398" s="16" t="str">
        <x:v>2000242099-U111</x:v>
      </x:c>
      <x:c r="C398" s="16" t="str">
        <x:v>КРУГ 12Х18Н10Т D120ММ ГОСТ5949-75</x:v>
      </x:c>
      <x:c r="D398" s="16" t="str">
        <x:v>Металлопрокат из нержавеющей стали</x:v>
      </x:c>
      <x:c r="E398" s="16" t="str">
        <x:v>Т</x:v>
      </x:c>
      <x:c r="F398" s="30" t="n">
        <x:v>0.018</x:v>
      </x:c>
      <x:c r="G398" s="17" t="n">
        <x:v>761737.5</x:v>
      </x:c>
      <x:c r="H398" s="17" t="n">
        <x:f>G398*F398</x:f>
        <x:v>13711.275</x:v>
      </x:c>
      <x:c r="I398" s="22" t="str">
        <x:f>HYPERLINK("https://etp-aktiv.ru/catalog/materialy/metalloprodukciya/2000242099-U111/","Открыть позицию")</x:f>
        <x:v>Открыть позицию</x:v>
      </x:c>
    </x:row>
    <x:row r="399" ht="28" customHeight="1">
      <x:c r="A399" s="16" t="str">
        <x:v>Томь-Усинская ГРЭС</x:v>
      </x:c>
      <x:c r="B399" s="16" t="str">
        <x:v>2000151141-U111</x:v>
      </x:c>
      <x:c r="C399" s="16" t="str">
        <x:v>КРУГ 12Х18Н10Т D60ММ ГОСТ5949-75</x:v>
      </x:c>
      <x:c r="D399" s="16" t="str">
        <x:v>Металлопрокат из нержавеющей стали</x:v>
      </x:c>
      <x:c r="E399" s="16" t="str">
        <x:v>Т</x:v>
      </x:c>
      <x:c r="F399" s="30" t="n">
        <x:v>0.251</x:v>
      </x:c>
      <x:c r="G399" s="17" t="n">
        <x:v>248016.72799999997</x:v>
      </x:c>
      <x:c r="H399" s="17" t="n">
        <x:f>G399*F399</x:f>
        <x:v>62252.198727999996</x:v>
      </x:c>
      <x:c r="I399" s="22" t="str">
        <x:f>HYPERLINK("https://etp-aktiv.ru/catalog/materialy/metalloprodukciya/2000151141-U111/","Открыть позицию")</x:f>
        <x:v>Открыть позицию</x:v>
      </x:c>
    </x:row>
    <x:row r="400" ht="28" customHeight="1">
      <x:c r="A400" s="16" t="str">
        <x:v>Томь-Усинская ГРЭС</x:v>
      </x:c>
      <x:c r="B400" s="16" t="str">
        <x:v>2000172338-U111</x:v>
      </x:c>
      <x:c r="C400" s="16" t="str">
        <x:v>КРУГ 12Х1МФ D100ММ ГОСТ20072-74</x:v>
      </x:c>
      <x:c r="D400" s="16" t="str">
        <x:v>Металлопрокат из нержавеющей стали</x:v>
      </x:c>
      <x:c r="E400" s="16" t="str">
        <x:v>Т</x:v>
      </x:c>
      <x:c r="F400" s="30" t="n">
        <x:v>0.016</x:v>
      </x:c>
      <x:c r="G400" s="17" t="n">
        <x:v>242475</x:v>
      </x:c>
      <x:c r="H400" s="17" t="n">
        <x:f>G400*F400</x:f>
        <x:v>3879.6</x:v>
      </x:c>
      <x:c r="I400" s="22" t="str">
        <x:f>HYPERLINK("https://etp-aktiv.ru/catalog/materialy/metalloprodukciya/2000172338-U111/","Открыть позицию")</x:f>
        <x:v>Открыть позицию</x:v>
      </x:c>
    </x:row>
    <x:row r="401" ht="28" customHeight="1">
      <x:c r="A401" s="16" t="str">
        <x:v>Томь-Усинская ГРЭС</x:v>
      </x:c>
      <x:c r="B401" s="16" t="str">
        <x:v>2000148463-U111</x:v>
      </x:c>
      <x:c r="C401" s="16" t="str">
        <x:v>КРУГ 12Х1МФ D90ММ ГОСТ20072-74</x:v>
      </x:c>
      <x:c r="D401" s="16" t="str">
        <x:v>Металлопрокат из нержавеющей стали</x:v>
      </x:c>
      <x:c r="E401" s="16" t="str">
        <x:v>Т</x:v>
      </x:c>
      <x:c r="F401" s="30" t="n">
        <x:v>0.506</x:v>
      </x:c>
      <x:c r="G401" s="17" t="n">
        <x:v>201300</x:v>
      </x:c>
      <x:c r="H401" s="17" t="n">
        <x:f>G401*F401</x:f>
        <x:v>101857.8</x:v>
      </x:c>
      <x:c r="I401" s="22" t="str">
        <x:f>HYPERLINK("https://etp-aktiv.ru/catalog/materialy/metalloprodukciya/2000148463-U111/","Открыть позицию")</x:f>
        <x:v>Открыть позицию</x:v>
      </x:c>
    </x:row>
    <x:row r="402" ht="28" customHeight="1">
      <x:c r="A402" s="16" t="str">
        <x:v>Томь-Усинская ГРЭС</x:v>
      </x:c>
      <x:c r="B402" s="16" t="str">
        <x:v>2000158380-U111</x:v>
      </x:c>
      <x:c r="C402" s="16" t="str">
        <x:v>ЛИСТ 12Х1МФ 8ММ ГОСТ5520-79</x:v>
      </x:c>
      <x:c r="D402" s="16" t="str">
        <x:v>Металлопрокат из нержавеющей стали</x:v>
      </x:c>
      <x:c r="E402" s="16" t="str">
        <x:v>Т</x:v>
      </x:c>
      <x:c r="F402" s="29" t="n">
        <x:v>1.498</x:v>
      </x:c>
      <x:c r="G402" s="17" t="n">
        <x:v>156161.403</x:v>
      </x:c>
      <x:c r="H402" s="17" t="n">
        <x:f>G402*F402</x:f>
        <x:v>233929.78169399998</x:v>
      </x:c>
      <x:c r="I402" s="22" t="str">
        <x:f>HYPERLINK("https://etp-aktiv.ru/catalog/materialy/metalloprodukciya/2000158380-U111/","Открыть позицию")</x:f>
        <x:v>Открыть позицию</x:v>
      </x:c>
    </x:row>
    <x:row r="403" ht="28" customHeight="1">
      <x:c r="A403" s="16" t="str">
        <x:v>Томь-Усинская ГРЭС</x:v>
      </x:c>
      <x:c r="B403" s="16" t="str">
        <x:v>2000015589-U111</x:v>
      </x:c>
      <x:c r="C403" s="16" t="str">
        <x:v>ЛИСТ Г/К СТ3 30ММ ГОСТ14637-89</x:v>
      </x:c>
      <x:c r="D403" s="16" t="str">
        <x:v>Металлопрокат черный</x:v>
      </x:c>
      <x:c r="E403" s="16" t="str">
        <x:v>Т</x:v>
      </x:c>
      <x:c r="F403" s="30" t="n">
        <x:v>0.29</x:v>
      </x:c>
      <x:c r="G403" s="17" t="n">
        <x:v>96143.3566</x:v>
      </x:c>
      <x:c r="H403" s="17" t="n">
        <x:f>G403*F403</x:f>
        <x:v>27881.573414</x:v>
      </x:c>
      <x:c r="I403" s="22" t="str">
        <x:f>HYPERLINK("https://etp-aktiv.ru/catalog/materialy/metalloprodukciya/2000015589-U111/","Открыть позицию")</x:f>
        <x:v>Открыть позицию</x:v>
      </x:c>
    </x:row>
    <x:row r="404" ht="28" customHeight="1">
      <x:c r="A404" s="16" t="str">
        <x:v>Томь-Усинская ГРЭС</x:v>
      </x:c>
      <x:c r="B404" s="16" t="str">
        <x:v>2000673571-U111</x:v>
      </x:c>
      <x:c r="C404" s="16" t="str">
        <x:v>ЛИСТ ДПРНП Л63 Н 1,5*600*1500 ГОСТ2208</x:v>
      </x:c>
      <x:c r="D404" s="16" t="str">
        <x:v>Металлопрокат цветной</x:v>
      </x:c>
      <x:c r="E404" s="16" t="str">
        <x:v>КГ</x:v>
      </x:c>
      <x:c r="F404" s="29" t="n">
        <x:v>5.7</x:v>
      </x:c>
      <x:c r="G404" s="17" t="n">
        <x:v>853.0971999999999</x:v>
      </x:c>
      <x:c r="H404" s="17" t="n">
        <x:f>G404*F404</x:f>
        <x:v>4862.654039999999</x:v>
      </x:c>
      <x:c r="I404" s="22" t="str">
        <x:f>HYPERLINK("https://etp-aktiv.ru/catalog/materialy/metalloprodukciya/2000673571-U111/","Открыть позицию")</x:f>
        <x:v>Открыть позицию</x:v>
      </x:c>
    </x:row>
    <x:row r="405" ht="28" customHeight="1">
      <x:c r="A405" s="16" t="str">
        <x:v>Томь-Усинская ГРЭС</x:v>
      </x:c>
      <x:c r="B405" s="16" t="str">
        <x:v>2000556218-U111</x:v>
      </x:c>
      <x:c r="C405" s="16" t="str">
        <x:v>ЛИСТ ДПРНТ М1 10*600*1500 ГОСТ1173-06</x:v>
      </x:c>
      <x:c r="D405" s="16" t="str">
        <x:v>Металлопрокат цветной</x:v>
      </x:c>
      <x:c r="E405" s="16" t="str">
        <x:v>КГ</x:v>
      </x:c>
      <x:c r="F405" s="21" t="n">
        <x:v>0</x:v>
      </x:c>
      <x:c r="G405" s="17" t="n">
        <x:v>951.6</x:v>
      </x:c>
      <x:c r="H405" s="17" t="n">
        <x:f>G405*F405</x:f>
        <x:v>0</x:v>
      </x:c>
      <x:c r="I405" s="22" t="str">
        <x:f>HYPERLINK("https://etp-aktiv.ru/catalog/materialy/metalloprodukciya/2000556218-U111/","Открыть позицию")</x:f>
        <x:v>Открыть позицию</x:v>
      </x:c>
    </x:row>
    <x:row r="406" ht="28" customHeight="1">
      <x:c r="A406" s="16" t="str">
        <x:v>Томь-Усинская ГРЭС</x:v>
      </x:c>
      <x:c r="B406" s="16" t="str">
        <x:v>2000556208-U111</x:v>
      </x:c>
      <x:c r="C406" s="16" t="str">
        <x:v>ЛИСТ Л63 2*600*1500 ГОСТ2208-2007</x:v>
      </x:c>
      <x:c r="D406" s="16" t="str">
        <x:v>Металлопрокат цветной</x:v>
      </x:c>
      <x:c r="E406" s="16" t="str">
        <x:v>КГ</x:v>
      </x:c>
      <x:c r="F406" s="29" t="n">
        <x:v>42.3</x:v>
      </x:c>
      <x:c r="G406" s="17" t="n">
        <x:v>827.4284</x:v>
      </x:c>
      <x:c r="H406" s="17" t="n">
        <x:f>G406*F406</x:f>
        <x:v>35000.22132</x:v>
      </x:c>
      <x:c r="I406" s="22" t="str">
        <x:f>HYPERLINK("https://etp-aktiv.ru/catalog/materialy/metalloprodukciya/2000556208-U111/","Открыть позицию")</x:f>
        <x:v>Открыть позицию</x:v>
      </x:c>
    </x:row>
    <x:row r="407" ht="28" customHeight="1">
      <x:c r="A407" s="16" t="str">
        <x:v>Томь-Усинская ГРЭС</x:v>
      </x:c>
      <x:c r="B407" s="16" t="str">
        <x:v>2000555963-U111</x:v>
      </x:c>
      <x:c r="C407" s="16" t="str">
        <x:v>ЛИСТ СТ08 1,2*1250*2500 ГОСТ1050-2013</x:v>
      </x:c>
      <x:c r="D407" s="16" t="str">
        <x:v>Металлопрокат черный</x:v>
      </x:c>
      <x:c r="E407" s="16" t="str">
        <x:v>Т</x:v>
      </x:c>
      <x:c r="F407" s="30" t="n">
        <x:v>0.99</x:v>
      </x:c>
      <x:c r="G407" s="17" t="n">
        <x:v>106750</x:v>
      </x:c>
      <x:c r="H407" s="17" t="n">
        <x:f>G407*F407</x:f>
        <x:v>105682.5</x:v>
      </x:c>
      <x:c r="I407" s="22" t="str">
        <x:f>HYPERLINK("https://etp-aktiv.ru/catalog/materialy/metalloprodukciya/2000555963-U111/","Открыть позицию")</x:f>
        <x:v>Открыть позицию</x:v>
      </x:c>
    </x:row>
    <x:row r="408" ht="28" customHeight="1">
      <x:c r="A408" s="16" t="str">
        <x:v>Томь-Усинская ГРЭС</x:v>
      </x:c>
      <x:c r="B408" s="16" t="str">
        <x:v>2000170541-U111</x:v>
      </x:c>
      <x:c r="C408" s="16" t="str">
        <x:v>ОТЛИВКА СЧ15-32 600*300 ГОСТ1412-85</x:v>
      </x:c>
      <x:c r="D408" s="16" t="str">
        <x:v>Шихтовые материалы</x:v>
      </x:c>
      <x:c r="E408" s="16" t="str">
        <x:v>ШТ</x:v>
      </x:c>
      <x:c r="F408" s="21" t="n">
        <x:v>2</x:v>
      </x:c>
      <x:c r="G408" s="17" t="n">
        <x:v>70237.3276</x:v>
      </x:c>
      <x:c r="H408" s="17" t="n">
        <x:f>G408*F408</x:f>
        <x:v>140474.6552</x:v>
      </x:c>
      <x:c r="I408" s="22" t="str">
        <x:f>HYPERLINK("https://etp-aktiv.ru/catalog/materialy/metalloprodukciya/2000170541-U111/","Открыть позицию")</x:f>
        <x:v>Открыть позицию</x:v>
      </x:c>
    </x:row>
    <x:row r="409" ht="28" customHeight="1">
      <x:c r="A409" s="16" t="str">
        <x:v>Томь-Усинская ГРЭС</x:v>
      </x:c>
      <x:c r="B409" s="16" t="str">
        <x:v>2000556033-U111</x:v>
      </x:c>
      <x:c r="C409" s="16" t="str">
        <x:v>ОТЛИВКА СЧ20 350*500 ГОСТ1412-85</x:v>
      </x:c>
      <x:c r="D409" s="16" t="str">
        <x:v>Шихтовые материалы</x:v>
      </x:c>
      <x:c r="E409" s="16" t="str">
        <x:v>ШТ</x:v>
      </x:c>
      <x:c r="F409" s="21" t="n">
        <x:v>3</x:v>
      </x:c>
      <x:c r="G409" s="17" t="n">
        <x:v>38530.65</x:v>
      </x:c>
      <x:c r="H409" s="17" t="n">
        <x:f>G409*F409</x:f>
        <x:v>115591.95000000001</x:v>
      </x:c>
      <x:c r="I409" s="22" t="str">
        <x:f>HYPERLINK("https://etp-aktiv.ru/catalog/materialy/metalloprodukciya/2000556033-U111/","Открыть позицию")</x:f>
        <x:v>Открыть позицию</x:v>
      </x:c>
    </x:row>
    <x:row r="410" ht="28" customHeight="1">
      <x:c r="A410" s="16" t="str">
        <x:v>Томь-Усинская ГРЭС</x:v>
      </x:c>
      <x:c r="B410" s="16" t="str">
        <x:v>2000556482-U111</x:v>
      </x:c>
      <x:c r="C410" s="16" t="str">
        <x:v>ПОКОВКА 12Х1МФ 190*70 ОСТ108.030.113-87</x:v>
      </x:c>
      <x:c r="D410" s="16" t="str">
        <x:v>Поковка</x:v>
      </x:c>
      <x:c r="E410" s="16" t="str">
        <x:v>ШТ</x:v>
      </x:c>
      <x:c r="F410" s="21" t="n">
        <x:v>4</x:v>
      </x:c>
      <x:c r="G410" s="17" t="n">
        <x:v>21657.4156</x:v>
      </x:c>
      <x:c r="H410" s="17" t="n">
        <x:f>G410*F410</x:f>
        <x:v>86629.6624</x:v>
      </x:c>
      <x:c r="I410" s="22" t="str">
        <x:f>HYPERLINK("https://etp-aktiv.ru/catalog/materialy/metalloprodukciya/2000556482-U111/","Открыть позицию")</x:f>
        <x:v>Открыть позицию</x:v>
      </x:c>
    </x:row>
    <x:row r="411" ht="28" customHeight="1">
      <x:c r="A411" s="16" t="str">
        <x:v>Томь-Усинская ГРЭС</x:v>
      </x:c>
      <x:c r="B411" s="16" t="str">
        <x:v>2000480935-U111</x:v>
      </x:c>
      <x:c r="C411" s="16" t="str">
        <x:v>ПРОВОЛОКА 12Х18Н10Т 4ММ ГОСТ18143-72</x:v>
      </x:c>
      <x:c r="D411" s="16" t="str">
        <x:v>Металлопрокат из нержавеющей стали</x:v>
      </x:c>
      <x:c r="E411" s="16" t="str">
        <x:v>КГ</x:v>
      </x:c>
      <x:c r="F411" s="29" t="n">
        <x:v>113.4</x:v>
      </x:c>
      <x:c r="G411" s="17" t="n">
        <x:v>419.375</x:v>
      </x:c>
      <x:c r="H411" s="17" t="n">
        <x:f>G411*F411</x:f>
        <x:v>47557.125</x:v>
      </x:c>
      <x:c r="I411" s="22" t="str">
        <x:f>HYPERLINK("https://etp-aktiv.ru/catalog/materialy/metalloprodukciya/2000480935-U111/","Открыть позицию")</x:f>
        <x:v>Открыть позицию</x:v>
      </x:c>
    </x:row>
    <x:row r="412" ht="28" customHeight="1">
      <x:c r="A412" s="16" t="str">
        <x:v>Томь-Усинская ГРЭС</x:v>
      </x:c>
      <x:c r="B412" s="16" t="str">
        <x:v>2000459008-U111</x:v>
      </x:c>
      <x:c r="C412" s="16" t="str">
        <x:v>ПРОВОЛОКА 5ММ 12Х18Н10Т ГОСТ18143-72</x:v>
      </x:c>
      <x:c r="D412" s="16" t="str">
        <x:v>Метизы специализированные и под заказ</x:v>
      </x:c>
      <x:c r="E412" s="16" t="str">
        <x:v>КГ</x:v>
      </x:c>
      <x:c r="F412" s="21" t="n">
        <x:v>8</x:v>
      </x:c>
      <x:c r="G412" s="17" t="n">
        <x:v>419.375</x:v>
      </x:c>
      <x:c r="H412" s="17" t="n">
        <x:f>G412*F412</x:f>
        <x:v>3355</x:v>
      </x:c>
      <x:c r="I412" s="22" t="str">
        <x:f>HYPERLINK("https://etp-aktiv.ru/catalog/materialy/metizy/2000459008-U111/","Открыть позицию")</x:f>
        <x:v>Открыть позицию</x:v>
      </x:c>
    </x:row>
    <x:row r="413" ht="28" customHeight="1">
      <x:c r="A413" s="16" t="str">
        <x:v>Томь-Усинская ГРЭС</x:v>
      </x:c>
      <x:c r="B413" s="16" t="str">
        <x:v>2000184323-U111</x:v>
      </x:c>
      <x:c r="C413" s="16" t="str">
        <x:v>ПРОВОЛОКА ВЯЗАЛЬНАЯ D6ММ ГОСТ3282-74</x:v>
      </x:c>
      <x:c r="D413" s="16" t="str">
        <x:v>Метизы специализированные и под заказ</x:v>
      </x:c>
      <x:c r="E413" s="16" t="str">
        <x:v>Т</x:v>
      </x:c>
      <x:c r="F413" s="30" t="n">
        <x:v>0.06</x:v>
      </x:c>
      <x:c r="G413" s="17" t="n">
        <x:v>58655.465</x:v>
      </x:c>
      <x:c r="H413" s="17" t="n">
        <x:f>G413*F413</x:f>
        <x:v>3519.3278999999998</x:v>
      </x:c>
      <x:c r="I413" s="22" t="str">
        <x:f>HYPERLINK("https://etp-aktiv.ru/catalog/materialy/metizy/2000184323-U111/","Открыть позицию")</x:f>
        <x:v>Открыть позицию</x:v>
      </x:c>
    </x:row>
    <x:row r="414" ht="28" customHeight="1">
      <x:c r="A414" s="16" t="str">
        <x:v>Томь-Усинская ГРЭС</x:v>
      </x:c>
      <x:c r="B414" s="16" t="str">
        <x:v>2000546356-U111</x:v>
      </x:c>
      <x:c r="C414" s="16" t="str">
        <x:v>ПРОВОЛОКА СВ07Х25Н13 D2ММ ГОСТ2246-70</x:v>
      </x:c>
      <x:c r="D414" s="16" t="str">
        <x:v>Сварочные электроды</x:v>
      </x:c>
      <x:c r="E414" s="16" t="str">
        <x:v>КГ</x:v>
      </x:c>
      <x:c r="F414" s="29" t="n">
        <x:v>14.9</x:v>
      </x:c>
      <x:c r="G414" s="17" t="n">
        <x:v>1178.032</x:v>
      </x:c>
      <x:c r="H414" s="17" t="n">
        <x:f>G414*F414</x:f>
        <x:v>17552.6768</x:v>
      </x:c>
      <x:c r="I414" s="22" t="str">
        <x:f>HYPERLINK("https://etp-aktiv.ru/catalog/materialy/svarochnye-ehlektrody/2000546356-U111/","Открыть позицию")</x:f>
        <x:v>Открыть позицию</x:v>
      </x:c>
    </x:row>
    <x:row r="415" ht="28" customHeight="1">
      <x:c r="A415" s="16" t="str">
        <x:v>Томь-Усинская ГРЭС</x:v>
      </x:c>
      <x:c r="B415" s="16" t="str">
        <x:v>2000546357-U111</x:v>
      </x:c>
      <x:c r="C415" s="16" t="str">
        <x:v>ПРОВОЛОКА СВ08Г2-О D2ММ ГОСТ2246-70</x:v>
      </x:c>
      <x:c r="D415" s="16" t="str">
        <x:v>Сварочные электроды</x:v>
      </x:c>
      <x:c r="E415" s="16" t="str">
        <x:v>КГ</x:v>
      </x:c>
      <x:c r="F415" s="21" t="n">
        <x:v>46</x:v>
      </x:c>
      <x:c r="G415" s="17" t="n">
        <x:v>239.12</x:v>
      </x:c>
      <x:c r="H415" s="17" t="n">
        <x:f>G415*F415</x:f>
        <x:v>10999.52</x:v>
      </x:c>
      <x:c r="I415" s="22" t="str">
        <x:f>HYPERLINK("https://etp-aktiv.ru/catalog/materialy/svarochnye-ehlektrody/2000546357-U111/","Открыть позицию")</x:f>
        <x:v>Открыть позицию</x:v>
      </x:c>
    </x:row>
    <x:row r="416" ht="28" customHeight="1">
      <x:c r="A416" s="16" t="str">
        <x:v>Томь-Усинская ГРЭС</x:v>
      </x:c>
      <x:c r="B416" s="16" t="str">
        <x:v>2000210745-U111</x:v>
      </x:c>
      <x:c r="C416" s="16" t="str">
        <x:v>ПРОВОЛОКА СВ08Г2С D2ММ ГОСТ2246-70</x:v>
      </x:c>
      <x:c r="D416" s="16" t="str">
        <x:v>Сварочные электроды</x:v>
      </x:c>
      <x:c r="E416" s="16" t="str">
        <x:v>КГ</x:v>
      </x:c>
      <x:c r="F416" s="21" t="n">
        <x:v>8</x:v>
      </x:c>
      <x:c r="G416" s="17" t="n">
        <x:v>24.802599999999998</x:v>
      </x:c>
      <x:c r="H416" s="17" t="n">
        <x:f>G416*F416</x:f>
        <x:v>198.42079999999999</x:v>
      </x:c>
      <x:c r="I416" s="22" t="str">
        <x:f>HYPERLINK("https://etp-aktiv.ru/catalog/materialy/svarochnye-ehlektrody/2000210745-U111/","Открыть позицию")</x:f>
        <x:v>Открыть позицию</x:v>
      </x:c>
    </x:row>
    <x:row r="417" ht="28" customHeight="1">
      <x:c r="A417" s="16" t="str">
        <x:v>Томь-Усинская ГРЭС</x:v>
      </x:c>
      <x:c r="B417" s="16" t="str">
        <x:v>2000546359-U111</x:v>
      </x:c>
      <x:c r="C417" s="16" t="str">
        <x:v>ПРОВОЛОКА СВ08Х19Н10Г2Б D2ММ ГОСТ2246-70</x:v>
      </x:c>
      <x:c r="D417" s="16" t="str">
        <x:v>Сварочные электроды</x:v>
      </x:c>
      <x:c r="E417" s="16" t="str">
        <x:v>КГ</x:v>
      </x:c>
      <x:c r="F417" s="29" t="n">
        <x:v>1.9</x:v>
      </x:c>
      <x:c r="G417" s="17" t="n">
        <x:v>681.5408</x:v>
      </x:c>
      <x:c r="H417" s="17" t="n">
        <x:f>G417*F417</x:f>
        <x:v>1294.92752</x:v>
      </x:c>
      <x:c r="I417" s="22" t="str">
        <x:f>HYPERLINK("https://etp-aktiv.ru/catalog/materialy/svarochnye-ehlektrody/2000546359-U111/","Открыть позицию")</x:f>
        <x:v>Открыть позицию</x:v>
      </x:c>
    </x:row>
    <x:row r="418" ht="28" customHeight="1">
      <x:c r="A418" s="16" t="str">
        <x:v>Томь-Усинская ГРЭС</x:v>
      </x:c>
      <x:c r="B418" s="16" t="str">
        <x:v>2000697774-U111</x:v>
      </x:c>
      <x:c r="C418" s="16" t="str">
        <x:v>ПРОВОЛОКА СВ08Х25Н13БТЮ D1,2ММ ГОСТ2246</x:v>
      </x:c>
      <x:c r="D418" s="16" t="str">
        <x:v>Сварочные электроды</x:v>
      </x:c>
      <x:c r="E418" s="16" t="str">
        <x:v>КГ</x:v>
      </x:c>
      <x:c r="F418" s="29" t="n">
        <x:v>126.6</x:v>
      </x:c>
      <x:c r="G418" s="17" t="n">
        <x:v>1015.223</x:v>
      </x:c>
      <x:c r="H418" s="17" t="n">
        <x:f>G418*F418</x:f>
        <x:v>128527.2318</x:v>
      </x:c>
      <x:c r="I418" s="22" t="str">
        <x:f>HYPERLINK("https://etp-aktiv.ru/catalog/materialy/svarochnye-ehlektrody/2000697774-U111/","Открыть позицию")</x:f>
        <x:v>Открыть позицию</x:v>
      </x:c>
    </x:row>
    <x:row r="419" ht="28" customHeight="1">
      <x:c r="A419" s="16" t="str">
        <x:v>Томь-Усинская ГРЭС</x:v>
      </x:c>
      <x:c r="B419" s="16" t="str">
        <x:v>2000546376-U111</x:v>
      </x:c>
      <x:c r="C419" s="16" t="str">
        <x:v>ПРОВОЛОКА СВАРОЧНАЯ 2,0 СВ-08ХГСМФА</x:v>
      </x:c>
      <x:c r="D419" s="16" t="str">
        <x:v>Сварочные электроды</x:v>
      </x:c>
      <x:c r="E419" s="16" t="str">
        <x:v>КГ</x:v>
      </x:c>
      <x:c r="F419" s="29" t="n">
        <x:v>5.04</x:v>
      </x:c>
      <x:c r="G419" s="17" t="n">
        <x:v>268.4488</x:v>
      </x:c>
      <x:c r="H419" s="17" t="n">
        <x:f>G419*F419</x:f>
        <x:v>1352.981952</x:v>
      </x:c>
      <x:c r="I419" s="22" t="str">
        <x:f>HYPERLINK("https://etp-aktiv.ru/catalog/materialy/svarochnye-ehlektrody/2000546376-U111/","Открыть позицию")</x:f>
        <x:v>Открыть позицию</x:v>
      </x:c>
    </x:row>
    <x:row r="420" ht="28" customHeight="1">
      <x:c r="A420" s="16" t="str">
        <x:v>Томь-Усинская ГРЭС</x:v>
      </x:c>
      <x:c r="B420" s="16" t="str">
        <x:v>2000556232-U111</x:v>
      </x:c>
      <x:c r="C420" s="16" t="str">
        <x:v>ПРОВОЛОКА Х20Н80-Н D1ММ ГОСТ12766.1-90</x:v>
      </x:c>
      <x:c r="D420" s="16" t="str">
        <x:v>Металлопрокат цветной</x:v>
      </x:c>
      <x:c r="E420" s="16" t="str">
        <x:v>КГ</x:v>
      </x:c>
      <x:c r="F420" s="29" t="n">
        <x:v>4.4</x:v>
      </x:c>
      <x:c r="G420" s="17" t="n">
        <x:v>1761.375</x:v>
      </x:c>
      <x:c r="H420" s="17" t="n">
        <x:f>G420*F420</x:f>
        <x:v>7750.05</x:v>
      </x:c>
      <x:c r="I420" s="22" t="str">
        <x:f>HYPERLINK("https://etp-aktiv.ru/catalog/materialy/metalloprodukciya/2000556232-U111/","Открыть позицию")</x:f>
        <x:v>Открыть позицию</x:v>
      </x:c>
    </x:row>
    <x:row r="421" ht="28" customHeight="1">
      <x:c r="A421" s="16" t="str">
        <x:v>Томь-Усинская ГРЭС</x:v>
      </x:c>
      <x:c r="B421" s="16" t="str">
        <x:v>2000229741-U111</x:v>
      </x:c>
      <x:c r="C421" s="16" t="str">
        <x:v>РЕЗАК ПРОПАНОВЫЙ РС-3П-Р-100</x:v>
      </x:c>
      <x:c r="D421" s="16" t="str">
        <x:v>Комплектующие и запасные части к сварочному оборудованию</x:v>
      </x:c>
      <x:c r="E421" s="16" t="str">
        <x:v>ШТ</x:v>
      </x:c>
      <x:c r="F421" s="21" t="n">
        <x:v>3</x:v>
      </x:c>
      <x:c r="G421" s="17" t="n">
        <x:v>1298.69</x:v>
      </x:c>
      <x:c r="H421" s="17" t="n">
        <x:f>G421*F421</x:f>
        <x:v>3896.07</x:v>
      </x:c>
      <x:c r="I421" s="22" t="str">
        <x:f>HYPERLINK("https://etp-aktiv.ru/catalog/materialy/zapasnye-chasti-promyshlennogo-oborudovaniya/2000229741-U111/","Открыть позицию")</x:f>
        <x:v>Открыть позицию</x:v>
      </x:c>
    </x:row>
    <x:row r="422" ht="28" customHeight="1">
      <x:c r="A422" s="16" t="str">
        <x:v>Томь-Усинская ГРЭС</x:v>
      </x:c>
      <x:c r="B422" s="16" t="str">
        <x:v>2000288416-U111</x:v>
      </x:c>
      <x:c r="C422" s="16" t="str">
        <x:v>САМОРЕЗ 4,2*16 ПО МЕТАЛЛУ ГОСТ17473-80</x:v>
      </x:c>
      <x:c r="D422" s="16" t="str">
        <x:v>Метизы</x:v>
      </x:c>
      <x:c r="E422" s="16" t="str">
        <x:v>КГ</x:v>
      </x:c>
      <x:c r="F422" s="29" t="n">
        <x:v>359.2</x:v>
      </x:c>
      <x:c r="G422" s="17" t="n">
        <x:v>208.5102</x:v>
      </x:c>
      <x:c r="H422" s="17" t="n">
        <x:f>G422*F422</x:f>
        <x:v>74896.86383999999</x:v>
      </x:c>
      <x:c r="I422" s="22" t="str">
        <x:f>HYPERLINK("https://etp-aktiv.ru/catalog/materialy/metizy/2000288416-U111/","Открыть позицию")</x:f>
        <x:v>Открыть позицию</x:v>
      </x:c>
    </x:row>
    <x:row r="423" ht="28" customHeight="1">
      <x:c r="A423" s="16" t="str">
        <x:v>Томь-Усинская ГРЭС</x:v>
      </x:c>
      <x:c r="B423" s="16" t="str">
        <x:v>2000271823-U111</x:v>
      </x:c>
      <x:c r="C423" s="16" t="str">
        <x:v>САМОРЕЗ 4,2*16 УНИВЕРСАЛ ГОСТ1146-80</x:v>
      </x:c>
      <x:c r="D423" s="16" t="str">
        <x:v>Метизы специализированные и под заказ</x:v>
      </x:c>
      <x:c r="E423" s="16" t="str">
        <x:v>ШТ</x:v>
      </x:c>
      <x:c r="F423" s="29" t="n">
        <x:v>3688.9</x:v>
      </x:c>
      <x:c r="G423" s="17" t="n">
        <x:v>0.3782</x:v>
      </x:c>
      <x:c r="H423" s="17" t="n">
        <x:f>G423*F423</x:f>
        <x:v>1395.1419799999999</x:v>
      </x:c>
      <x:c r="I423" s="22" t="str">
        <x:f>HYPERLINK("https://etp-aktiv.ru/catalog/materialy/metizy/2000271823-U111/","Открыть позицию")</x:f>
        <x:v>Открыть позицию</x:v>
      </x:c>
    </x:row>
    <x:row r="424" ht="28" customHeight="1">
      <x:c r="A424" s="16" t="str">
        <x:v>Томь-Усинская ГРЭС</x:v>
      </x:c>
      <x:c r="B424" s="16" t="str">
        <x:v>2000484528-U111</x:v>
      </x:c>
      <x:c r="C424" s="16" t="str">
        <x:v>САМОРЕЗ СО СВЕРЛОМ 4,2*19 П/МЕТ DIN7504</x:v>
      </x:c>
      <x:c r="D424" s="16" t="str">
        <x:v>Метизы</x:v>
      </x:c>
      <x:c r="E424" s="16" t="str">
        <x:v>КГ</x:v>
      </x:c>
      <x:c r="F424" s="29" t="n">
        <x:v>7.3</x:v>
      </x:c>
      <x:c r="G424" s="17" t="n">
        <x:v>243.0118</x:v>
      </x:c>
      <x:c r="H424" s="17" t="n">
        <x:f>G424*F424</x:f>
        <x:v>1773.98614</x:v>
      </x:c>
      <x:c r="I424" s="22" t="str">
        <x:f>HYPERLINK("https://etp-aktiv.ru/catalog/materialy/metizy/2000484528-U111/","Открыть позицию")</x:f>
        <x:v>Открыть позицию</x:v>
      </x:c>
    </x:row>
    <x:row r="425" ht="28" customHeight="1">
      <x:c r="A425" s="16" t="str">
        <x:v>Томь-Усинская ГРЭС</x:v>
      </x:c>
      <x:c r="B425" s="16" t="str">
        <x:v>2000556292-U111</x:v>
      </x:c>
      <x:c r="C425" s="16" t="str">
        <x:v>СЕТКА Л80 05-0,25*0,5 ГОСТ6613-86</x:v>
      </x:c>
      <x:c r="D425" s="16" t="str">
        <x:v>Металлопрокат цветной</x:v>
      </x:c>
      <x:c r="E425" s="16" t="str">
        <x:v>М2</x:v>
      </x:c>
      <x:c r="F425" s="21" t="n">
        <x:v>26</x:v>
      </x:c>
      <x:c r="G425" s="17" t="n">
        <x:v>1397.815</x:v>
      </x:c>
      <x:c r="H425" s="17" t="n">
        <x:f>G425*F425</x:f>
        <x:v>36343.19</x:v>
      </x:c>
      <x:c r="I425" s="22" t="str">
        <x:f>HYPERLINK("https://etp-aktiv.ru/catalog/materialy/metalloprodukciya/2000556292-U111/","Открыть позицию")</x:f>
        <x:v>Открыть позицию</x:v>
      </x:c>
    </x:row>
    <x:row r="426" ht="28" customHeight="1">
      <x:c r="A426" s="16" t="str">
        <x:v>Томь-Усинская ГРЭС</x:v>
      </x:c>
      <x:c r="B426" s="16" t="str">
        <x:v>2000168601-U111</x:v>
      </x:c>
      <x:c r="C426" s="16" t="str">
        <x:v>ШАБЛОН СВАРЩИКА УШС-3</x:v>
      </x:c>
      <x:c r="D426" s="16" t="str">
        <x:v>Комплектующие и запасные части к сварочному оборудованию</x:v>
      </x:c>
      <x:c r="E426" s="16" t="str">
        <x:v>ШТ</x:v>
      </x:c>
      <x:c r="F426" s="21" t="n">
        <x:v>1</x:v>
      </x:c>
      <x:c r="G426" s="17" t="n">
        <x:v>1399.9987999999998</x:v>
      </x:c>
      <x:c r="H426" s="17" t="n">
        <x:f>G426*F426</x:f>
        <x:v>1399.9987999999998</x:v>
      </x:c>
      <x:c r="I426" s="22" t="str">
        <x:f>HYPERLINK("https://etp-aktiv.ru/catalog/materialy/zapasnye-chasti-promyshlennogo-oborudovaniya/2000168601-U111/","Открыть позицию")</x:f>
        <x:v>Открыть позицию</x:v>
      </x:c>
    </x:row>
    <x:row r="427" ht="28" customHeight="1">
      <x:c r="A427" s="16" t="str">
        <x:v>Томь-Усинская ГРЭС</x:v>
      </x:c>
      <x:c r="B427" s="16" t="str">
        <x:v>2000258761-U111</x:v>
      </x:c>
      <x:c r="C427" s="16" t="str">
        <x:v>ШПЛИНТ 5*90 ГОСТ397-79</x:v>
      </x:c>
      <x:c r="D427" s="16" t="str">
        <x:v>Метизы специализированные и под заказ</x:v>
      </x:c>
      <x:c r="E427" s="16" t="str">
        <x:v>КГ</x:v>
      </x:c>
      <x:c r="F427" s="29" t="n">
        <x:v>3.75</x:v>
      </x:c>
      <x:c r="G427" s="17" t="n">
        <x:v>28.365</x:v>
      </x:c>
      <x:c r="H427" s="17" t="n">
        <x:f>G427*F427</x:f>
        <x:v>106.36874999999999</x:v>
      </x:c>
      <x:c r="I427" s="22" t="str">
        <x:f>HYPERLINK("https://etp-aktiv.ru/catalog/materialy/metizy/2000258761-U111/","Открыть позицию")</x:f>
        <x:v>Открыть позицию</x:v>
      </x:c>
    </x:row>
    <x:row r="428" ht="28" customHeight="1">
      <x:c r="A428" s="16" t="str">
        <x:v>Томь-Усинская ГРЭС</x:v>
      </x:c>
      <x:c r="B428" s="16" t="str">
        <x:v>2000695254-U111</x:v>
      </x:c>
      <x:c r="C428" s="16" t="str">
        <x:v>ЭЛЕКТРОД WL-15 2*175ММ ГОСТ23949-80</x:v>
      </x:c>
      <x:c r="D428" s="16" t="str">
        <x:v>Сварочные электроды</x:v>
      </x:c>
      <x:c r="E428" s="16" t="str">
        <x:v>ШТ</x:v>
      </x:c>
      <x:c r="F428" s="21" t="n">
        <x:v>105</x:v>
      </x:c>
      <x:c r="G428" s="17" t="n">
        <x:v>183</x:v>
      </x:c>
      <x:c r="H428" s="17" t="n">
        <x:f>G428*F428</x:f>
        <x:v>19215</x:v>
      </x:c>
      <x:c r="I428" s="22" t="str">
        <x:f>HYPERLINK("https://etp-aktiv.ru/catalog/materialy/svarochnye-ehlektrody/2000695254-U111/","Открыть позицию")</x:f>
        <x:v>Открыть позицию</x:v>
      </x:c>
    </x:row>
    <x:row r="429" ht="28" customHeight="1">
      <x:c r="A429" s="16" t="str">
        <x:v>Томь-Усинская ГРЭС</x:v>
      </x:c>
      <x:c r="B429" s="16" t="str">
        <x:v>2000546280-U111</x:v>
      </x:c>
      <x:c r="C429" s="16" t="str">
        <x:v>ЭЛЕКТРОД WY-20 3ММ ГОСТ9466-75</x:v>
      </x:c>
      <x:c r="D429" s="16" t="str">
        <x:v>Сварочные электроды</x:v>
      </x:c>
      <x:c r="E429" s="16" t="str">
        <x:v>ШТ</x:v>
      </x:c>
      <x:c r="F429" s="21" t="n">
        <x:v>5</x:v>
      </x:c>
      <x:c r="G429" s="17" t="n">
        <x:v>139.69</x:v>
      </x:c>
      <x:c r="H429" s="17" t="n">
        <x:f>G429*F429</x:f>
        <x:v>698.45</x:v>
      </x:c>
      <x:c r="I429" s="22" t="str">
        <x:f>HYPERLINK("https://etp-aktiv.ru/catalog/materialy/svarochnye-ehlektrody/2000546280-U111/","Открыть позицию")</x:f>
        <x:v>Открыть позицию</x:v>
      </x:c>
    </x:row>
    <x:row r="430" ht="28" customHeight="1">
      <x:c r="A430" s="16" t="str">
        <x:v>Томь-Усинская ГРЭС</x:v>
      </x:c>
      <x:c r="B430" s="16" t="str">
        <x:v>2000142936-U111</x:v>
      </x:c>
      <x:c r="C430" s="16" t="str">
        <x:v>ЭЛЕКТРОД ОЗЛ-6 3ММ ГОСТ9466-75</x:v>
      </x:c>
      <x:c r="D430" s="16" t="str">
        <x:v>Сварочные электроды</x:v>
      </x:c>
      <x:c r="E430" s="16" t="str">
        <x:v>Т</x:v>
      </x:c>
      <x:c r="F430" s="30" t="n">
        <x:v>0.036</x:v>
      </x:c>
      <x:c r="G430" s="17" t="n">
        <x:v>853839.875</x:v>
      </x:c>
      <x:c r="H430" s="17" t="n">
        <x:f>G430*F430</x:f>
        <x:v>30738.2355</x:v>
      </x:c>
      <x:c r="I430" s="22" t="str">
        <x:f>HYPERLINK("https://etp-aktiv.ru/catalog/materialy/svarochnye-ehlektrody/2000142936-U111/","Открыть позицию")</x:f>
        <x:v>Открыть позицию</x:v>
      </x:c>
    </x:row>
    <x:row r="431" ht="28" customHeight="1">
      <x:c r="A431" s="16" t="str">
        <x:v>Томь-Усинская ГРЭС</x:v>
      </x:c>
      <x:c r="B431" s="16" t="str">
        <x:v>2000546299-U111</x:v>
      </x:c>
      <x:c r="C431" s="16" t="str">
        <x:v>ЭЛЕКТРОД ТМЛ-1У 3ММ</x:v>
      </x:c>
      <x:c r="D431" s="16" t="str">
        <x:v>Сварочные электроды</x:v>
      </x:c>
      <x:c r="E431" s="16" t="str">
        <x:v>Т</x:v>
      </x:c>
      <x:c r="F431" s="30" t="n">
        <x:v>0.016</x:v>
      </x:c>
      <x:c r="G431" s="17" t="n">
        <x:v>190857.5686</x:v>
      </x:c>
      <x:c r="H431" s="17" t="n">
        <x:f>G431*F431</x:f>
        <x:v>3053.7210976</x:v>
      </x:c>
      <x:c r="I431" s="22" t="str">
        <x:f>HYPERLINK("https://etp-aktiv.ru/catalog/materialy/svarochnye-ehlektrody/2000546299-U111/","Открыть позицию")</x:f>
        <x:v>Открыть позицию</x:v>
      </x:c>
    </x:row>
    <x:row r="432" ht="28" customHeight="1">
      <x:c r="A432" s="16" t="str">
        <x:v>Томь-Усинская ГРЭС</x:v>
      </x:c>
      <x:c r="B432" s="16" t="str">
        <x:v>2000546300-U111</x:v>
      </x:c>
      <x:c r="C432" s="16" t="str">
        <x:v>ЭЛЕКТРОД ТМЛ-1У 4ММ</x:v>
      </x:c>
      <x:c r="D432" s="16" t="str">
        <x:v>Сварочные электроды</x:v>
      </x:c>
      <x:c r="E432" s="16" t="str">
        <x:v>Т</x:v>
      </x:c>
      <x:c r="F432" s="30" t="n">
        <x:v>0.06</x:v>
      </x:c>
      <x:c r="G432" s="17" t="n">
        <x:v>188923.1</x:v>
      </x:c>
      <x:c r="H432" s="17" t="n">
        <x:f>G432*F432</x:f>
        <x:v>11335.386</x:v>
      </x:c>
      <x:c r="I432" s="22" t="str">
        <x:f>HYPERLINK("https://etp-aktiv.ru/catalog/materialy/svarochnye-ehlektrody/2000546300-U111/","Открыть позицию")</x:f>
        <x:v>Открыть позицию</x:v>
      </x:c>
    </x:row>
    <x:row r="433" ht="28" customHeight="1">
      <x:c r="A433" s="16" t="str">
        <x:v>Томь-Усинская ГРЭС</x:v>
      </x:c>
      <x:c r="B433" s="16" t="str">
        <x:v>2000784005-U111</x:v>
      </x:c>
      <x:c r="C433" s="16" t="str">
        <x:v>ЭЛЕКТРОД УГОЛЬНЫЙ УГЛ 8,0 8ММ</x:v>
      </x:c>
      <x:c r="D433" s="16" t="str">
        <x:v>Сварочные электроды</x:v>
      </x:c>
      <x:c r="E433" s="16" t="str">
        <x:v>ШТ</x:v>
      </x:c>
      <x:c r="F433" s="21" t="n">
        <x:v>90</x:v>
      </x:c>
      <x:c r="G433" s="17" t="n">
        <x:v>18.3</x:v>
      </x:c>
      <x:c r="H433" s="17" t="n">
        <x:f>G433*F433</x:f>
        <x:v>1647</x:v>
      </x:c>
      <x:c r="I433" s="22" t="str">
        <x:f>HYPERLINK("https://etp-aktiv.ru/catalog/materialy/svarochnye-ehlektrody/2000784005-U111/","Открыть позицию")</x:f>
        <x:v>Открыть позицию</x:v>
      </x:c>
    </x:row>
    <x:row r="434" ht="28" customHeight="1">
      <x:c r="A434" s="16" t="str">
        <x:v>Томь-Усинская ГРЭС</x:v>
      </x:c>
      <x:c r="B434" s="16" t="str">
        <x:v>2000546305-U111</x:v>
      </x:c>
      <x:c r="C434" s="16" t="str">
        <x:v>ЭЛЕКТРОД УОНИ 13/45 3ММ ГОСТ9466-75</x:v>
      </x:c>
      <x:c r="D434" s="16" t="str">
        <x:v>Сварочные электроды</x:v>
      </x:c>
      <x:c r="E434" s="16" t="str">
        <x:v>КГ</x:v>
      </x:c>
      <x:c r="F434" s="21" t="n">
        <x:v>316</x:v>
      </x:c>
      <x:c r="G434" s="17" t="n">
        <x:v>99.77159999999999</x:v>
      </x:c>
      <x:c r="H434" s="17" t="n">
        <x:f>G434*F434</x:f>
        <x:v>31527.825599999996</x:v>
      </x:c>
      <x:c r="I434" s="22" t="str">
        <x:f>HYPERLINK("https://etp-aktiv.ru/catalog/materialy/svarochnye-ehlektrody/2000546305-U111/","Открыть позицию")</x:f>
        <x:v>Открыть позицию</x:v>
      </x:c>
    </x:row>
    <x:row r="435" ht="28" customHeight="1">
      <x:c r="A435" s="16" t="str">
        <x:v>Томь-Усинская ГРЭС</x:v>
      </x:c>
      <x:c r="B435" s="16" t="str">
        <x:v>2000015611-U111</x:v>
      </x:c>
      <x:c r="C435" s="16" t="str">
        <x:v>ЭЛЕКТРОД УОНИ-13/45 5ММ ГОСТ9466-75</x:v>
      </x:c>
      <x:c r="D435" s="16" t="str">
        <x:v>Сварочные электроды</x:v>
      </x:c>
      <x:c r="E435" s="16" t="str">
        <x:v>Т</x:v>
      </x:c>
      <x:c r="F435" s="30" t="n">
        <x:v>0.057</x:v>
      </x:c>
      <x:c r="G435" s="17" t="n">
        <x:v>99482.10620000001</x:v>
      </x:c>
      <x:c r="H435" s="17" t="n">
        <x:f>G435*F435</x:f>
        <x:v>5670.4800534000005</x:v>
      </x:c>
      <x:c r="I435" s="22" t="str">
        <x:f>HYPERLINK("https://etp-aktiv.ru/catalog/materialy/svarochnye-ehlektrody/2000015611-U111/","Открыть позицию")</x:f>
        <x:v>Открыть позицию</x:v>
      </x:c>
    </x:row>
    <x:row r="436" ht="28" customHeight="1">
      <x:c r="A436" s="16" t="str">
        <x:v>Томь-Усинская ГРЭС</x:v>
      </x:c>
      <x:c r="B436" s="16" t="str">
        <x:v>2000546319-U111</x:v>
      </x:c>
      <x:c r="C436" s="16" t="str">
        <x:v>ЭЛЕКТРОД ЦЛ-39 2,5ММ ГОСТ9466-75</x:v>
      </x:c>
      <x:c r="D436" s="16" t="str">
        <x:v>Сварочные электроды</x:v>
      </x:c>
      <x:c r="E436" s="16" t="str">
        <x:v>КГ</x:v>
      </x:c>
      <x:c r="F436" s="21" t="n">
        <x:v>17</x:v>
      </x:c>
      <x:c r="G436" s="17" t="n">
        <x:v>184.12239999999997</x:v>
      </x:c>
      <x:c r="H436" s="17" t="n">
        <x:f>G436*F436</x:f>
        <x:v>3130.0807999999997</x:v>
      </x:c>
      <x:c r="I436" s="22" t="str">
        <x:f>HYPERLINK("https://etp-aktiv.ru/catalog/materialy/svarochnye-ehlektrody/2000546319-U111/","Открыть позицию")</x:f>
        <x:v>Открыть позицию</x:v>
      </x:c>
    </x:row>
    <x:row r="437" ht="28" customHeight="1">
      <x:c r="A437" s="16" t="str">
        <x:v>Томь-Усинская ГРЭС</x:v>
      </x:c>
      <x:c r="B437" s="16" t="str">
        <x:v>2000546320-U111</x:v>
      </x:c>
      <x:c r="C437" s="16" t="str">
        <x:v>ЭЛЕКТРОД ЦЛ-39 3ММ ГОСТ9466-75</x:v>
      </x:c>
      <x:c r="D437" s="16" t="str">
        <x:v>Сварочные электроды</x:v>
      </x:c>
      <x:c r="E437" s="16" t="str">
        <x:v>КГ</x:v>
      </x:c>
      <x:c r="F437" s="29" t="n">
        <x:v>407.5</x:v>
      </x:c>
      <x:c r="G437" s="17" t="n">
        <x:v>204.2402</x:v>
      </x:c>
      <x:c r="H437" s="17" t="n">
        <x:f>G437*F437</x:f>
        <x:v>83227.88149999999</x:v>
      </x:c>
      <x:c r="I437" s="22" t="str">
        <x:f>HYPERLINK("https://etp-aktiv.ru/catalog/materialy/svarochnye-ehlektrody/2000546320-U111/","Открыть позицию")</x:f>
        <x:v>Открыть позицию</x:v>
      </x:c>
    </x:row>
    <x:row r="438" ht="28" customHeight="1">
      <x:c r="A438" s="16" t="str">
        <x:v>Томь-Усинская ГРЭС</x:v>
      </x:c>
      <x:c r="B438" s="16" t="str">
        <x:v>2000546323-U111</x:v>
      </x:c>
      <x:c r="C438" s="16" t="str">
        <x:v>ЭЛЕКТРОД ЦН-6Л 4ММ ГОСТ9466-75</x:v>
      </x:c>
      <x:c r="D438" s="16" t="str">
        <x:v>Сварочные электроды</x:v>
      </x:c>
      <x:c r="E438" s="16" t="str">
        <x:v>КГ</x:v>
      </x:c>
      <x:c r="F438" s="21" t="n">
        <x:v>128</x:v>
      </x:c>
      <x:c r="G438" s="17" t="n">
        <x:v>671.1342</x:v>
      </x:c>
      <x:c r="H438" s="17" t="n">
        <x:f>G438*F438</x:f>
        <x:v>85905.1776</x:v>
      </x:c>
      <x:c r="I438" s="22" t="str">
        <x:f>HYPERLINK("https://etp-aktiv.ru/catalog/materialy/svarochnye-ehlektrody/2000546323-U111/","Открыть позицию")</x:f>
        <x:v>Открыть позицию</x:v>
      </x:c>
    </x:row>
    <x:row r="439" ht="28" customHeight="1">
      <x:c r="A439" s="16" t="str">
        <x:v>Томь-Усинская ГРЭС</x:v>
      </x:c>
      <x:c r="B439" s="16" t="str">
        <x:v>2000546325-U111</x:v>
      </x:c>
      <x:c r="C439" s="16" t="str">
        <x:v>ЭЛЕКТРОД ЦТ-15 2,5ММ ГОСТ9466-75</x:v>
      </x:c>
      <x:c r="D439" s="16" t="str">
        <x:v>Сварочные электроды</x:v>
      </x:c>
      <x:c r="E439" s="16" t="str">
        <x:v>КГ</x:v>
      </x:c>
      <x:c r="F439" s="21" t="n">
        <x:v>70</x:v>
      </x:c>
      <x:c r="G439" s="17" t="n">
        <x:v>518.5</x:v>
      </x:c>
      <x:c r="H439" s="17" t="n">
        <x:f>G439*F439</x:f>
        <x:v>36295</x:v>
      </x:c>
      <x:c r="I439" s="22" t="str">
        <x:f>HYPERLINK("https://etp-aktiv.ru/catalog/materialy/svarochnye-ehlektrody/2000546325-U111/","Открыть позицию")</x:f>
        <x:v>Открыть позицию</x:v>
      </x:c>
    </x:row>
    <x:row r="440" ht="28" customHeight="1">
      <x:c r="A440" s="16" t="str">
        <x:v>Томь-Усинская ГРЭС</x:v>
      </x:c>
      <x:c r="B440" s="16" t="str">
        <x:v>2000546326-U111</x:v>
      </x:c>
      <x:c r="C440" s="16" t="str">
        <x:v>ЭЛЕКТРОД ЦТ-15 3ММ ГОСТ9466-75</x:v>
      </x:c>
      <x:c r="D440" s="16" t="str">
        <x:v>Сварочные электроды</x:v>
      </x:c>
      <x:c r="E440" s="16" t="str">
        <x:v>КГ</x:v>
      </x:c>
      <x:c r="F440" s="21" t="n">
        <x:v>120</x:v>
      </x:c>
      <x:c r="G440" s="17" t="n">
        <x:v>518.5</x:v>
      </x:c>
      <x:c r="H440" s="17" t="n">
        <x:f>G440*F440</x:f>
        <x:v>62220</x:v>
      </x:c>
      <x:c r="I440" s="22" t="str">
        <x:f>HYPERLINK("https://etp-aktiv.ru/catalog/materialy/svarochnye-ehlektrody/2000546326-U111/","Открыть позицию")</x:f>
        <x:v>Открыть позицию</x:v>
      </x:c>
    </x:row>
    <x:row r="441" ht="28" customHeight="1">
      <x:c r="A441" s="16" t="str">
        <x:v>Томь-Усинская ГРЭС</x:v>
      </x:c>
      <x:c r="B441" s="16" t="str">
        <x:v>2000546327-U111</x:v>
      </x:c>
      <x:c r="C441" s="16" t="str">
        <x:v>ЭЛЕКТРОД ЦТ-15 4ММ ГОСТ9466-75</x:v>
      </x:c>
      <x:c r="D441" s="16" t="str">
        <x:v>Сварочные электроды</x:v>
      </x:c>
      <x:c r="E441" s="16" t="str">
        <x:v>Т</x:v>
      </x:c>
      <x:c r="F441" s="30" t="n">
        <x:v>0.231</x:v>
      </x:c>
      <x:c r="G441" s="17" t="n">
        <x:v>621568.9062</x:v>
      </x:c>
      <x:c r="H441" s="17" t="n">
        <x:f>G441*F441</x:f>
        <x:v>143582.4173322</x:v>
      </x:c>
      <x:c r="I441" s="22" t="str">
        <x:f>HYPERLINK("https://etp-aktiv.ru/catalog/materialy/svarochnye-ehlektrody/2000546327-U111/","Открыть позицию")</x:f>
        <x:v>Открыть позицию</x:v>
      </x:c>
    </x:row>
    <x:row r="442" ht="28" customHeight="1">
      <x:c r="A442" s="16" t="str">
        <x:v>Томь-Усинская ГРЭС</x:v>
      </x:c>
      <x:c r="B442" s="16" t="str">
        <x:v>2000546328-U111</x:v>
      </x:c>
      <x:c r="C442" s="16" t="str">
        <x:v>ЭЛЕКТРОД ЦТ-28 3ММ ГОСТ9466-75</x:v>
      </x:c>
      <x:c r="D442" s="16" t="str">
        <x:v>Сварочные электроды</x:v>
      </x:c>
      <x:c r="E442" s="16" t="str">
        <x:v>Т</x:v>
      </x:c>
      <x:c r="F442" s="30" t="n">
        <x:v>0.003</x:v>
      </x:c>
      <x:c r="G442" s="17" t="n">
        <x:v>5356739.399999999</x:v>
      </x:c>
      <x:c r="H442" s="17" t="n">
        <x:f>G442*F442</x:f>
        <x:v>16070.2182</x:v>
      </x:c>
      <x:c r="I442" s="22" t="str">
        <x:f>HYPERLINK("https://etp-aktiv.ru/catalog/materialy/svarochnye-ehlektrody/2000546328-U111/","Открыть позицию")</x:f>
        <x:v>Открыть позицию</x:v>
      </x:c>
    </x:row>
    <x:row r="443" ht="28" customHeight="1">
      <x:c r="A443" s="16" t="str">
        <x:v>Томь-Усинская ГРЭС</x:v>
      </x:c>
      <x:c r="B443" s="16" t="str">
        <x:v>2000546329-U111</x:v>
      </x:c>
      <x:c r="C443" s="16" t="str">
        <x:v>ЭЛЕКТРОД ЦТ-28 4ММ ГОСТ9466-75</x:v>
      </x:c>
      <x:c r="D443" s="16" t="str">
        <x:v>Сварочные электроды</x:v>
      </x:c>
      <x:c r="E443" s="16" t="str">
        <x:v>Т</x:v>
      </x:c>
      <x:c r="F443" s="30" t="n">
        <x:v>0.025</x:v>
      </x:c>
      <x:c r="G443" s="17" t="n">
        <x:v>6164428.566</x:v>
      </x:c>
      <x:c r="H443" s="17" t="n">
        <x:f>G443*F443</x:f>
        <x:v>154110.71414999999</x:v>
      </x:c>
      <x:c r="I443" s="22" t="str">
        <x:f>HYPERLINK("https://etp-aktiv.ru/catalog/materialy/svarochnye-ehlektrody/2000546329-U111/","Открыть позицию")</x:f>
        <x:v>Открыть позицию</x:v>
      </x:c>
    </x:row>
    <x:row r="444" ht="28" customHeight="1">
      <x:c r="A444" s="16" t="str">
        <x:v>Томь-Усинская ГРЭС</x:v>
      </x:c>
      <x:c r="B444" s="16" t="str">
        <x:v>2000546330-U111</x:v>
      </x:c>
      <x:c r="C444" s="16" t="str">
        <x:v>ЭЛЕКТРОД ЦУ-5 2,5ММ ГОСТ9466-75</x:v>
      </x:c>
      <x:c r="D444" s="16" t="str">
        <x:v>Сварочные электроды</x:v>
      </x:c>
      <x:c r="E444" s="16" t="str">
        <x:v>КГ</x:v>
      </x:c>
      <x:c r="F444" s="21" t="n">
        <x:v>322</x:v>
      </x:c>
      <x:c r="G444" s="17" t="n">
        <x:v>105.7984</x:v>
      </x:c>
      <x:c r="H444" s="17" t="n">
        <x:f>G444*F444</x:f>
        <x:v>34067.0848</x:v>
      </x:c>
      <x:c r="I444" s="22" t="str">
        <x:f>HYPERLINK("https://etp-aktiv.ru/catalog/materialy/svarochnye-ehlektrody/2000546330-U111/","Открыть позицию")</x:f>
        <x:v>Открыть позицию</x:v>
      </x:c>
    </x:row>
    <x:row r="445" ht="28" customHeight="1">
      <x:c r="A445" s="16" t="str">
        <x:v>Томь-Усинская ГРЭС</x:v>
      </x:c>
      <x:c r="B445" s="16" t="str">
        <x:v>2000168064-U111</x:v>
      </x:c>
      <x:c r="C445" s="16" t="str">
        <x:v>ЭЛЕКТРОД Э42А 4ММ ГОСТ9467-75</x:v>
      </x:c>
      <x:c r="D445" s="16" t="str">
        <x:v>Сварочные электроды</x:v>
      </x:c>
      <x:c r="E445" s="16" t="str">
        <x:v>КГ</x:v>
      </x:c>
      <x:c r="F445" s="21" t="n">
        <x:v>6</x:v>
      </x:c>
      <x:c r="G445" s="17" t="n">
        <x:v>119.4502</x:v>
      </x:c>
      <x:c r="H445" s="17" t="n">
        <x:f>G445*F445</x:f>
        <x:v>716.7012</x:v>
      </x:c>
      <x:c r="I445" s="22" t="str">
        <x:f>HYPERLINK("https://etp-aktiv.ru/catalog/materialy/svarochnye-ehlektrody/2000168064-U111/","Открыть позицию")</x:f>
        <x:v>Открыть позицию</x:v>
      </x:c>
    </x:row>
    <x:row r="446" ht="28" customHeight="1">
      <x:c r="A446" s="16" t="str">
        <x:v>Томь-Усинская ГРЭС</x:v>
      </x:c>
      <x:c r="B446" s="16" t="str">
        <x:v>2000549853-U111</x:v>
      </x:c>
      <x:c r="C446" s="16" t="str">
        <x:v>ЭЛЕКТРОДОДЕРЖАТЕЛЬ HANDY STYLE 200A ESAB</x:v>
      </x:c>
      <x:c r="D446" s="16" t="str">
        <x:v>Комплектующие и запасные части к сварочному оборудованию</x:v>
      </x:c>
      <x:c r="E446" s="16" t="str">
        <x:v>ШТ</x:v>
      </x:c>
      <x:c r="F446" s="21" t="n">
        <x:v>4</x:v>
      </x:c>
      <x:c r="G446" s="17" t="n">
        <x:v>456.2434</x:v>
      </x:c>
      <x:c r="H446" s="17" t="n">
        <x:f>G446*F446</x:f>
        <x:v>1824.9736</x:v>
      </x:c>
      <x:c r="I446" s="22" t="str">
        <x:f>HYPERLINK("https://etp-aktiv.ru/catalog/materialy/zapasnye-chasti-promyshlennogo-oborudovaniya/2000549853-U111/","Открыть позицию")</x:f>
        <x:v>Открыть позицию</x:v>
      </x:c>
    </x:row>
    <x:row r="447" ht="28" customHeight="1">
      <x:c r="A447" s="16" t="str">
        <x:v>Томь-Усинская ГРЭС</x:v>
      </x:c>
      <x:c r="B447" s="16" t="str">
        <x:v>2000226449-U111</x:v>
      </x:c>
      <x:c r="C447" s="16" t="str">
        <x:v>ЭЛЕКТРОДЫ ВОЛЬФРАМОВЫЕ WL 20 D2,4ММ</x:v>
      </x:c>
      <x:c r="D447" s="16" t="str">
        <x:v>Сварочные электроды</x:v>
      </x:c>
      <x:c r="E447" s="16" t="str">
        <x:v>ШТ</x:v>
      </x:c>
      <x:c r="F447" s="21" t="n">
        <x:v>20</x:v>
      </x:c>
      <x:c r="G447" s="17" t="n">
        <x:v>122</x:v>
      </x:c>
      <x:c r="H447" s="17" t="n">
        <x:f>G447*F447</x:f>
        <x:v>2440</x:v>
      </x:c>
      <x:c r="I447" s="22" t="str">
        <x:f>HYPERLINK("https://etp-aktiv.ru/catalog/materialy/svarochnye-ehlektrody/2000226449-U111/","Открыть позицию")</x:f>
        <x:v>Открыть позицию</x:v>
      </x:c>
    </x:row>
    <x:row r="448" ht="28" customHeight="1">
      <x:c r="A448" s="16" t="str">
        <x:v>Томь-Усинская ГРЭС</x:v>
      </x:c>
      <x:c r="B448" s="16" t="str">
        <x:v>2000226447-U111</x:v>
      </x:c>
      <x:c r="C448" s="16" t="str">
        <x:v>ЭЛЕКТРОДЫ ВОЛЬФРАМОВЫЕ WL 20 D3,2ММ</x:v>
      </x:c>
      <x:c r="D448" s="16" t="str">
        <x:v>Сварочные электроды специализированные и под заказ</x:v>
      </x:c>
      <x:c r="E448" s="16" t="str">
        <x:v>ШТ</x:v>
      </x:c>
      <x:c r="F448" s="21" t="n">
        <x:v>45</x:v>
      </x:c>
      <x:c r="G448" s="17" t="n">
        <x:v>268.7904</x:v>
      </x:c>
      <x:c r="H448" s="17" t="n">
        <x:f>G448*F448</x:f>
        <x:v>12095.568</x:v>
      </x:c>
      <x:c r="I448" s="22" t="str">
        <x:f>HYPERLINK("https://etp-aktiv.ru/catalog/materialy/svarochnye-ehlektrody/2000226447-U111/","Открыть позицию")</x:f>
        <x:v>Открыть позицию</x:v>
      </x:c>
    </x:row>
    <x:row r="449" ht="28" customHeight="1">
      <x:c r="A449" s="16" t="str">
        <x:v>Томь-Усинская ГРЭС</x:v>
      </x:c>
      <x:c r="B449" s="16" t="str">
        <x:v>2000226448-U111</x:v>
      </x:c>
      <x:c r="C449" s="16" t="str">
        <x:v>ЭЛЕКТРОДЫ ВОЛЬФРАМОВЫЕ WL 20 D3ММ</x:v>
      </x:c>
      <x:c r="D449" s="16" t="str">
        <x:v>Сварочные электроды</x:v>
      </x:c>
      <x:c r="E449" s="16" t="str">
        <x:v>ШТ</x:v>
      </x:c>
      <x:c r="F449" s="21" t="n">
        <x:v>20</x:v>
      </x:c>
      <x:c r="G449" s="17" t="n">
        <x:v>230.0066</x:v>
      </x:c>
      <x:c r="H449" s="17" t="n">
        <x:f>G449*F449</x:f>
        <x:v>4600.132</x:v>
      </x:c>
      <x:c r="I449" s="22" t="str">
        <x:f>HYPERLINK("https://etp-aktiv.ru/catalog/materialy/svarochnye-ehlektrody/2000226448-U111/","Открыть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8d0e1ce08e344c22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Кабельно-проводниковая продукция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2000066903-U112</x:v>
      </x:c>
      <x:c r="C5" s="16" t="str">
        <x:v>КАБЕЛЬ ААБЛ 3*95 6КВ</x:v>
      </x:c>
      <x:c r="D5" s="16" t="str">
        <x:v>Кабельно-проводниковая продукция</x:v>
      </x:c>
      <x:c r="E5" s="16" t="str">
        <x:v>КМ</x:v>
      </x:c>
      <x:c r="F5" s="30" t="n">
        <x:v>0.15</x:v>
      </x:c>
      <x:c r="G5" s="17" t="n">
        <x:v>98718.9352</x:v>
      </x:c>
      <x:c r="H5" s="17" t="n">
        <x:f>G5*F5</x:f>
        <x:v>14807.84028</x:v>
      </x:c>
      <x:c r="I5" s="22" t="str">
        <x:f>HYPERLINK("https://etp-aktiv.ru/catalog/materialy/kabelno-provodnikovaya-produkciya/2000066903-U112/","Открыть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2000531087-U112</x:v>
      </x:c>
      <x:c r="C6" s="16" t="str">
        <x:v>КАБЕЛЬ АВВГНГ 4*16 1КВ</x:v>
      </x:c>
      <x:c r="D6" s="16" t="str">
        <x:v>Кабель общепромышленный и провод</x:v>
      </x:c>
      <x:c r="E6" s="16" t="str">
        <x:v>КМ</x:v>
      </x:c>
      <x:c r="F6" s="30" t="n">
        <x:v>0.14</x:v>
      </x:c>
      <x:c r="G6" s="17" t="n">
        <x:v>18215.1856</x:v>
      </x:c>
      <x:c r="H6" s="17" t="n">
        <x:f>G6*F6</x:f>
        <x:v>2550.1259840000002</x:v>
      </x:c>
      <x:c r="I6" s="22" t="str">
        <x:f>HYPERLINK("https://etp-aktiv.ru/catalog/materialy/kabelno-provodnikovaya-produkciya/2000531087-U112/","Открыть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2000495973-U112</x:v>
      </x:c>
      <x:c r="C7" s="16" t="str">
        <x:v>КАБЕЛЬ ВВГНГ(А)-LS 3*6 1КВ</x:v>
      </x:c>
      <x:c r="D7" s="16" t="str">
        <x:v>Кабель общепромышленный и провод</x:v>
      </x:c>
      <x:c r="E7" s="16" t="str">
        <x:v>КМ</x:v>
      </x:c>
      <x:c r="F7" s="30" t="n">
        <x:v>0.02</x:v>
      </x:c>
      <x:c r="G7" s="17" t="n">
        <x:v>173012.3236</x:v>
      </x:c>
      <x:c r="H7" s="17" t="n">
        <x:f>G7*F7</x:f>
        <x:v>3460.2464720000003</x:v>
      </x:c>
      <x:c r="I7" s="22" t="str">
        <x:f>HYPERLINK("https://etp-aktiv.ru/catalog/materialy/kabelno-provodnikovaya-produkciya/2000495973-U112/","Открыть позицию")</x:f>
        <x:v>Открыть позицию</x:v>
      </x:c>
    </x:row>
    <x:row r="8" ht="28" customHeight="1">
      <x:c r="A8" s="16" t="str">
        <x:v>Беловская ГРЭС</x:v>
      </x:c>
      <x:c r="B8" s="16" t="str">
        <x:v>2000472130-U112</x:v>
      </x:c>
      <x:c r="C8" s="16" t="str">
        <x:v>КАБЕЛЬ ВВГНГ(А)-LS 4*4 1КВ</x:v>
      </x:c>
      <x:c r="D8" s="16" t="str">
        <x:v>Кабель общепромышленный и провод</x:v>
      </x:c>
      <x:c r="E8" s="16" t="str">
        <x:v>КМ</x:v>
      </x:c>
      <x:c r="F8" s="30" t="n">
        <x:v>0.035</x:v>
      </x:c>
      <x:c r="G8" s="17" t="n">
        <x:v>155761.4992</x:v>
      </x:c>
      <x:c r="H8" s="17" t="n">
        <x:f>G8*F8</x:f>
        <x:v>5451.652472</x:v>
      </x:c>
      <x:c r="I8" s="22" t="str">
        <x:f>HYPERLINK("https://etp-aktiv.ru/catalog/materialy/kabelno-provodnikovaya-produkciya/2000472130-U112/","Открыть позицию")</x:f>
        <x:v>Открыть позицию</x:v>
      </x:c>
    </x:row>
    <x:row r="9" ht="28" customHeight="1">
      <x:c r="A9" s="16" t="str">
        <x:v>Беловская ГРЭС</x:v>
      </x:c>
      <x:c r="B9" s="16" t="str">
        <x:v>2001116572-U112</x:v>
      </x:c>
      <x:c r="C9" s="16" t="str">
        <x:v>КАБЕЛЬ КВВГНГ(А)-LS 7*2,5 0,66КВ</x:v>
      </x:c>
      <x:c r="D9" s="16" t="str">
        <x:v>Кабель общепромышленный и провод</x:v>
      </x:c>
      <x:c r="E9" s="16" t="str">
        <x:v>КМ</x:v>
      </x:c>
      <x:c r="F9" s="30" t="n">
        <x:v>0.016</x:v>
      </x:c>
      <x:c r="G9" s="17" t="n">
        <x:v>151331.85</x:v>
      </x:c>
      <x:c r="H9" s="17" t="n">
        <x:f>G9*F9</x:f>
        <x:v>2421.3096</x:v>
      </x:c>
      <x:c r="I9" s="22" t="str">
        <x:f>HYPERLINK("https://etp-aktiv.ru/catalog/materialy/kabelno-provodnikovaya-produkciya/2001116572-U112/","Открыть позицию")</x:f>
        <x:v>Открыть позицию</x:v>
      </x:c>
    </x:row>
    <x:row r="10" ht="28" customHeight="1">
      <x:c r="A10" s="16" t="str">
        <x:v>Беловская ГРЭС</x:v>
      </x:c>
      <x:c r="B10" s="16" t="str">
        <x:v>2001111499-U112</x:v>
      </x:c>
      <x:c r="C10" s="16" t="str">
        <x:v>КАБЕЛЬ КВВГЭНГ(А)-LS 10*4 0,66КВ</x:v>
      </x:c>
      <x:c r="D10" s="16" t="str">
        <x:v>Кабель общепромышленный и провод</x:v>
      </x:c>
      <x:c r="E10" s="16" t="str">
        <x:v>КМ</x:v>
      </x:c>
      <x:c r="F10" s="30" t="n">
        <x:v>0.4</x:v>
      </x:c>
      <x:c r="G10" s="17" t="n">
        <x:v>436647.14999999997</x:v>
      </x:c>
      <x:c r="H10" s="17" t="n">
        <x:f>G10*F10</x:f>
        <x:v>174658.86</x:v>
      </x:c>
      <x:c r="I10" s="22" t="str">
        <x:f>HYPERLINK("https://etp-aktiv.ru/catalog/materialy/kabelno-provodnikovaya-produkciya/2001111499-U112/","Открыть позицию")</x:f>
        <x:v>Открыть позицию</x:v>
      </x:c>
    </x:row>
    <x:row r="11" ht="28" customHeight="1">
      <x:c r="A11" s="16" t="str">
        <x:v>Беловская ГРЭС</x:v>
      </x:c>
      <x:c r="B11" s="16" t="str">
        <x:v>2000532560-U112</x:v>
      </x:c>
      <x:c r="C11" s="16" t="str">
        <x:v>КАБЕЛЬ-КАНАЛ 40*25 CKK10-040-025-1-K01</x:v>
      </x:c>
      <x:c r="D11" s="16" t="str">
        <x:v>Монтажные изделия для кабельной продукции</x:v>
      </x:c>
      <x:c r="E11" s="16" t="str">
        <x:v>М</x:v>
      </x:c>
      <x:c r="F11" s="21" t="n">
        <x:v>100</x:v>
      </x:c>
      <x:c r="G11" s="17" t="n">
        <x:v>10.711599999999999</x:v>
      </x:c>
      <x:c r="H11" s="17" t="n">
        <x:f>G11*F11</x:f>
        <x:v>1071.1599999999999</x:v>
      </x:c>
      <x:c r="I11" s="22" t="str">
        <x:f>HYPERLINK("https://etp-aktiv.ru/catalog/materialy/ehlektrotekhnicheskie-materialy/2000532560-U112/","Открыть позицию")</x:f>
        <x:v>Открыть позицию</x:v>
      </x:c>
    </x:row>
    <x:row r="12" ht="28" customHeight="1">
      <x:c r="A12" s="16" t="str">
        <x:v>Беловская ГРЭС</x:v>
      </x:c>
      <x:c r="B12" s="16" t="str">
        <x:v>2000532771-U112</x:v>
      </x:c>
      <x:c r="C12" s="16" t="str">
        <x:v>МУФТА 10 (70-120) 3СТП</x:v>
      </x:c>
      <x:c r="D12" s="16" t="str">
        <x:v>Монтажные изделия для кабельной продукции</x:v>
      </x:c>
      <x:c r="E12" s="16" t="str">
        <x:v>ШТ</x:v>
      </x:c>
      <x:c r="F12" s="21" t="n">
        <x:v>0</x:v>
      </x:c>
      <x:c r="G12" s="17" t="n">
        <x:v>687.2504</x:v>
      </x:c>
      <x:c r="H12" s="17" t="n">
        <x:f>G12*F12</x:f>
        <x:v>0</x:v>
      </x:c>
      <x:c r="I12" s="22" t="str">
        <x:f>HYPERLINK("https://etp-aktiv.ru/catalog/materialy/ehlektrotekhnicheskie-materialy/2000532771-U112/","Открыть позицию")</x:f>
        <x:v>Открыть позицию</x:v>
      </x:c>
    </x:row>
    <x:row r="13" ht="28" customHeight="1">
      <x:c r="A13" s="16" t="str">
        <x:v>Беловская ГРЭС</x:v>
      </x:c>
      <x:c r="B13" s="16" t="str">
        <x:v>2000532777-U112</x:v>
      </x:c>
      <x:c r="C13" s="16" t="str">
        <x:v>МУФТА 1КВТП-4 150/240</x:v>
      </x:c>
      <x:c r="D13" s="16" t="str">
        <x:v>Монтажные изделия для кабельной продукции</x:v>
      </x:c>
      <x:c r="E13" s="16" t="str">
        <x:v>КМП</x:v>
      </x:c>
      <x:c r="F13" s="21" t="n">
        <x:v>3</x:v>
      </x:c>
      <x:c r="G13" s="17" t="n">
        <x:v>310.4046</x:v>
      </x:c>
      <x:c r="H13" s="17" t="n">
        <x:f>G13*F13</x:f>
        <x:v>931.2138</x:v>
      </x:c>
      <x:c r="I13" s="22" t="str">
        <x:f>HYPERLINK("https://etp-aktiv.ru/catalog/materialy/ehlektrotekhnicheskie-materialy/2000532777-U112/","Открыть позицию")</x:f>
        <x:v>Открыть позицию</x:v>
      </x:c>
    </x:row>
    <x:row r="14" ht="28" customHeight="1">
      <x:c r="A14" s="16" t="str">
        <x:v>Беловская ГРЭС</x:v>
      </x:c>
      <x:c r="B14" s="16" t="str">
        <x:v>2000532787-U112</x:v>
      </x:c>
      <x:c r="C14" s="16" t="str">
        <x:v>МУФТА 3КВТП-10 150/240</x:v>
      </x:c>
      <x:c r="D14" s="16" t="str">
        <x:v>Монтажные изделия для кабельной продукции</x:v>
      </x:c>
      <x:c r="E14" s="16" t="str">
        <x:v>КМП</x:v>
      </x:c>
      <x:c r="F14" s="21" t="n">
        <x:v>0</x:v>
      </x:c>
      <x:c r="G14" s="17" t="n">
        <x:v>386.2764</x:v>
      </x:c>
      <x:c r="H14" s="17" t="n">
        <x:f>G14*F14</x:f>
        <x:v>0</x:v>
      </x:c>
      <x:c r="I14" s="22" t="str">
        <x:f>HYPERLINK("https://etp-aktiv.ru/catalog/materialy/ehlektrotekhnicheskie-materialy/2000532787-U112/","Открыть позицию")</x:f>
        <x:v>Открыть позицию</x:v>
      </x:c>
    </x:row>
    <x:row r="15" ht="28" customHeight="1">
      <x:c r="A15" s="16" t="str">
        <x:v>Беловская ГРЭС</x:v>
      </x:c>
      <x:c r="B15" s="16" t="str">
        <x:v>2000532793-U112</x:v>
      </x:c>
      <x:c r="C15" s="16" t="str">
        <x:v>МУФТА 3КВТПН-10 150/240</x:v>
      </x:c>
      <x:c r="D15" s="16" t="str">
        <x:v>Монтажные изделия для кабельной продукции</x:v>
      </x:c>
      <x:c r="E15" s="16" t="str">
        <x:v>КМП</x:v>
      </x:c>
      <x:c r="F15" s="21" t="n">
        <x:v>0</x:v>
      </x:c>
      <x:c r="G15" s="17" t="n">
        <x:v>443.8482</x:v>
      </x:c>
      <x:c r="H15" s="17" t="n">
        <x:f>G15*F15</x:f>
        <x:v>0</x:v>
      </x:c>
      <x:c r="I15" s="22" t="str">
        <x:f>HYPERLINK("https://etp-aktiv.ru/catalog/materialy/ehlektrotekhnicheskie-materialy/2000532793-U112/","Открыть позицию")</x:f>
        <x:v>Открыть позицию</x:v>
      </x:c>
    </x:row>
    <x:row r="16" ht="28" customHeight="1">
      <x:c r="A16" s="16" t="str">
        <x:v>Беловская ГРЭС</x:v>
      </x:c>
      <x:c r="B16" s="16" t="str">
        <x:v>2000532804-U112</x:v>
      </x:c>
      <x:c r="C16" s="16" t="str">
        <x:v>МУФТА 3СТП-10 150/240</x:v>
      </x:c>
      <x:c r="D16" s="16" t="str">
        <x:v>Монтажные изделия для кабельной продукции</x:v>
      </x:c>
      <x:c r="E16" s="16" t="str">
        <x:v>КМП</x:v>
      </x:c>
      <x:c r="F16" s="21" t="n">
        <x:v>0</x:v>
      </x:c>
      <x:c r="G16" s="17" t="n">
        <x:v>1012.234</x:v>
      </x:c>
      <x:c r="H16" s="17" t="n">
        <x:f>G16*F16</x:f>
        <x:v>0</x:v>
      </x:c>
      <x:c r="I16" s="22" t="str">
        <x:f>HYPERLINK("https://etp-aktiv.ru/catalog/materialy/ehlektrotekhnicheskie-materialy/2000532804-U112/","Открыть позицию")</x:f>
        <x:v>Открыть позицию</x:v>
      </x:c>
    </x:row>
    <x:row r="17" ht="28" customHeight="1">
      <x:c r="A17" s="16" t="str">
        <x:v>Беловская ГРЭС</x:v>
      </x:c>
      <x:c r="B17" s="16" t="str">
        <x:v>2000532806-U112</x:v>
      </x:c>
      <x:c r="C17" s="16" t="str">
        <x:v>МУФТА 3СТП-10 70/120</x:v>
      </x:c>
      <x:c r="D17" s="16" t="str">
        <x:v>Монтажные изделия для кабельной продукции</x:v>
      </x:c>
      <x:c r="E17" s="16" t="str">
        <x:v>КМП</x:v>
      </x:c>
      <x:c r="F17" s="21" t="n">
        <x:v>1</x:v>
      </x:c>
      <x:c r="G17" s="17" t="n">
        <x:v>1591.0752</x:v>
      </x:c>
      <x:c r="H17" s="17" t="n">
        <x:f>G17*F17</x:f>
        <x:v>1591.0752</x:v>
      </x:c>
      <x:c r="I17" s="22" t="str">
        <x:f>HYPERLINK("https://etp-aktiv.ru/catalog/materialy/ehlektrotekhnicheskie-materialy/2000532806-U112/","Открыть позицию")</x:f>
        <x:v>Открыть позицию</x:v>
      </x:c>
    </x:row>
    <x:row r="18" ht="28" customHeight="1">
      <x:c r="A18" s="16" t="str">
        <x:v>Беловская ГРЭС</x:v>
      </x:c>
      <x:c r="B18" s="16" t="str">
        <x:v>2000532827-U112</x:v>
      </x:c>
      <x:c r="C18" s="16" t="str">
        <x:v>МУФТА 4СТП-1 25/50(М)</x:v>
      </x:c>
      <x:c r="D18" s="16" t="str">
        <x:v>Монтажные изделия для кабельной продукции</x:v>
      </x:c>
      <x:c r="E18" s="16" t="str">
        <x:v>КМП</x:v>
      </x:c>
      <x:c r="F18" s="21" t="n">
        <x:v>2</x:v>
      </x:c>
      <x:c r="G18" s="17" t="n">
        <x:v>343.6496</x:v>
      </x:c>
      <x:c r="H18" s="17" t="n">
        <x:f>G18*F18</x:f>
        <x:v>687.2992</x:v>
      </x:c>
      <x:c r="I18" s="22" t="str">
        <x:f>HYPERLINK("https://etp-aktiv.ru/catalog/materialy/ehlektrotekhnicheskie-materialy/2000532827-U112/","Открыть позицию")</x:f>
        <x:v>Открыть позицию</x:v>
      </x:c>
    </x:row>
    <x:row r="19" ht="28" customHeight="1">
      <x:c r="A19" s="16" t="str">
        <x:v>Беловская ГРЭС</x:v>
      </x:c>
      <x:c r="B19" s="16" t="str">
        <x:v>2000532853-U112</x:v>
      </x:c>
      <x:c r="C19" s="16" t="str">
        <x:v>МУФТА КОНЦЕВАЯ 3ПКВТП-10 150-240</x:v>
      </x:c>
      <x:c r="D19" s="16" t="str">
        <x:v>Монтажные изделия для кабельной продукции</x:v>
      </x:c>
      <x:c r="E19" s="16" t="str">
        <x:v>ШТ</x:v>
      </x:c>
      <x:c r="F19" s="21" t="n">
        <x:v>2</x:v>
      </x:c>
      <x:c r="G19" s="17" t="n">
        <x:v>1209.7642</x:v>
      </x:c>
      <x:c r="H19" s="17" t="n">
        <x:f>G19*F19</x:f>
        <x:v>2419.5284</x:v>
      </x:c>
      <x:c r="I19" s="22" t="str">
        <x:f>HYPERLINK("https://etp-aktiv.ru/catalog/materialy/ehlektrotekhnicheskie-materialy/2000532853-U112/","Открыть позицию")</x:f>
        <x:v>Открыть позицию</x:v>
      </x:c>
    </x:row>
    <x:row r="20" ht="28" customHeight="1">
      <x:c r="A20" s="16" t="str">
        <x:v>Беловская ГРЭС</x:v>
      </x:c>
      <x:c r="B20" s="16" t="str">
        <x:v>2000532869-U112</x:v>
      </x:c>
      <x:c r="C20" s="16" t="str">
        <x:v>МУФТА ПРЯМАЯ МПП 0,1/0,3 120309-00002</x:v>
      </x:c>
      <x:c r="D20" s="16" t="str">
        <x:v>Монтажные изделия для кабельной продукции</x:v>
      </x:c>
      <x:c r="E20" s="16" t="str">
        <x:v>КМП</x:v>
      </x:c>
      <x:c r="F20" s="21" t="n">
        <x:v>10</x:v>
      </x:c>
      <x:c r="G20" s="17" t="n">
        <x:v>57.3278</x:v>
      </x:c>
      <x:c r="H20" s="17" t="n">
        <x:f>G20*F20</x:f>
        <x:v>573.278</x:v>
      </x:c>
      <x:c r="I20" s="22" t="str">
        <x:f>HYPERLINK("https://etp-aktiv.ru/catalog/materialy/ehlektrotekhnicheskie-materialy/2000532869-U112/","Открыть позицию")</x:f>
        <x:v>Открыть позицию</x:v>
      </x:c>
    </x:row>
    <x:row r="21" ht="28" customHeight="1">
      <x:c r="A21" s="16" t="str">
        <x:v>Беловская ГРЭС</x:v>
      </x:c>
      <x:c r="B21" s="16" t="str">
        <x:v>2000532870-U112</x:v>
      </x:c>
      <x:c r="C21" s="16" t="str">
        <x:v>МУФТА ПРЯМАЯ МПП 0,5 120301-00002</x:v>
      </x:c>
      <x:c r="D21" s="16" t="str">
        <x:v>Монтажные изделия для кабельной продукции</x:v>
      </x:c>
      <x:c r="E21" s="16" t="str">
        <x:v>КМП</x:v>
      </x:c>
      <x:c r="F21" s="21" t="n">
        <x:v>10</x:v>
      </x:c>
      <x:c r="G21" s="17" t="n">
        <x:v>68.6982</x:v>
      </x:c>
      <x:c r="H21" s="17" t="n">
        <x:f>G21*F21</x:f>
        <x:v>686.982</x:v>
      </x:c>
      <x:c r="I21" s="22" t="str">
        <x:f>HYPERLINK("https://etp-aktiv.ru/catalog/materialy/ehlektrotekhnicheskie-materialy/2000532870-U112/","Открыть позицию")</x:f>
        <x:v>Открыть позицию</x:v>
      </x:c>
    </x:row>
    <x:row r="22" ht="28" customHeight="1">
      <x:c r="A22" s="16" t="str">
        <x:v>Беловская ГРЭС</x:v>
      </x:c>
      <x:c r="B22" s="16" t="str">
        <x:v>2000531636-U112</x:v>
      </x:c>
      <x:c r="C22" s="16" t="str">
        <x:v>ПРОВОД ПУГВ 1*4 З-Ж(PE)</x:v>
      </x:c>
      <x:c r="D22" s="16" t="str">
        <x:v>Кабель общепромышленный и провод</x:v>
      </x:c>
      <x:c r="E22" s="16" t="str">
        <x:v>М</x:v>
      </x:c>
      <x:c r="F22" s="29" t="n">
        <x:v>130.985</x:v>
      </x:c>
      <x:c r="G22" s="17" t="n">
        <x:v>33.855</x:v>
      </x:c>
      <x:c r="H22" s="17" t="n">
        <x:f>G22*F22</x:f>
        <x:v>4434.497175</x:v>
      </x:c>
      <x:c r="I22" s="22" t="str">
        <x:f>HYPERLINK("https://etp-aktiv.ru/catalog/materialy/kabelno-provodnikovaya-produkciya/2000531636-U112/","Открыть позицию")</x:f>
        <x:v>Открыть позицию</x:v>
      </x:c>
    </x:row>
    <x:row r="23" ht="28" customHeight="1">
      <x:c r="A23" s="16" t="str">
        <x:v>Беловская ГРЭС</x:v>
      </x:c>
      <x:c r="B23" s="16" t="str">
        <x:v>2000007357-U112</x:v>
      </x:c>
      <x:c r="C23" s="16" t="str">
        <x:v>ПРОВОД ПЭТВ-2 0,2</x:v>
      </x:c>
      <x:c r="D23" s="16" t="str">
        <x:v>Кабель общепромышленный и провод</x:v>
      </x:c>
      <x:c r="E23" s="16" t="str">
        <x:v>КГ</x:v>
      </x:c>
      <x:c r="F23" s="21" t="n">
        <x:v>13</x:v>
      </x:c>
      <x:c r="G23" s="17" t="n">
        <x:v>1071.2332</x:v>
      </x:c>
      <x:c r="H23" s="17" t="n">
        <x:f>G23*F23</x:f>
        <x:v>13926.031599999998</x:v>
      </x:c>
      <x:c r="I23" s="22" t="str">
        <x:f>HYPERLINK("https://etp-aktiv.ru/catalog/materialy/kabelno-provodnikovaya-produkciya/2000007357-U112/","Открыть позицию")</x:f>
        <x:v>Открыть позицию</x:v>
      </x:c>
    </x:row>
    <x:row r="24" ht="28" customHeight="1">
      <x:c r="A24" s="16" t="str">
        <x:v>Беловская ГРЭС</x:v>
      </x:c>
      <x:c r="B24" s="16" t="str">
        <x:v>2000007284-U112</x:v>
      </x:c>
      <x:c r="C24" s="16" t="str">
        <x:v>ПРОВОД ПЭТВ-2 0,28</x:v>
      </x:c>
      <x:c r="D24" s="16" t="str">
        <x:v>Кабель общепромышленный и провод</x:v>
      </x:c>
      <x:c r="E24" s="16" t="str">
        <x:v>КГ</x:v>
      </x:c>
      <x:c r="F24" s="29" t="n">
        <x:v>14.44</x:v>
      </x:c>
      <x:c r="G24" s="17" t="n">
        <x:v>1105.1126</x:v>
      </x:c>
      <x:c r="H24" s="17" t="n">
        <x:f>G24*F24</x:f>
        <x:v>15957.825943999998</x:v>
      </x:c>
      <x:c r="I24" s="22" t="str">
        <x:f>HYPERLINK("https://etp-aktiv.ru/catalog/materialy/kabelno-provodnikovaya-produkciya/2000007284-U112/","Открыть позицию")</x:f>
        <x:v>Открыть позицию</x:v>
      </x:c>
    </x:row>
    <x:row r="25" ht="28" customHeight="1">
      <x:c r="A25" s="16" t="str">
        <x:v>Беловская ГРЭС</x:v>
      </x:c>
      <x:c r="B25" s="16" t="str">
        <x:v>2000007184-U112</x:v>
      </x:c>
      <x:c r="C25" s="16" t="str">
        <x:v>ПРОВОД ПЭТВ-2 0,3</x:v>
      </x:c>
      <x:c r="D25" s="16" t="str">
        <x:v>Кабель общепромышленный и провод</x:v>
      </x:c>
      <x:c r="E25" s="16" t="str">
        <x:v>КГ</x:v>
      </x:c>
      <x:c r="F25" s="21" t="n">
        <x:v>2</x:v>
      </x:c>
      <x:c r="G25" s="17" t="n">
        <x:v>1079.7</x:v>
      </x:c>
      <x:c r="H25" s="17" t="n">
        <x:f>G25*F25</x:f>
        <x:v>2159.4</x:v>
      </x:c>
      <x:c r="I25" s="22" t="str">
        <x:f>HYPERLINK("https://etp-aktiv.ru/catalog/materialy/kabelno-provodnikovaya-produkciya/2000007184-U112/","Открыть позицию")</x:f>
        <x:v>Открыть позицию</x:v>
      </x:c>
    </x:row>
    <x:row r="26" ht="28" customHeight="1">
      <x:c r="A26" s="16" t="str">
        <x:v>Беловская ГРЭС</x:v>
      </x:c>
      <x:c r="B26" s="16" t="str">
        <x:v>2000007256-U112</x:v>
      </x:c>
      <x:c r="C26" s="16" t="str">
        <x:v>ПРОВОД ПЭТВ-2 0,335</x:v>
      </x:c>
      <x:c r="D26" s="16" t="str">
        <x:v>Кабель общепромышленный и провод</x:v>
      </x:c>
      <x:c r="E26" s="16" t="str">
        <x:v>КГ</x:v>
      </x:c>
      <x:c r="F26" s="29" t="n">
        <x:v>2.21</x:v>
      </x:c>
      <x:c r="G26" s="17" t="n">
        <x:v>951.6</x:v>
      </x:c>
      <x:c r="H26" s="17" t="n">
        <x:f>G26*F26</x:f>
        <x:v>2103.036</x:v>
      </x:c>
      <x:c r="I26" s="22" t="str">
        <x:f>HYPERLINK("https://etp-aktiv.ru/catalog/materialy/kabelno-provodnikovaya-produkciya/2000007256-U112/","Открыть позицию")</x:f>
        <x:v>Открыть позицию</x:v>
      </x:c>
    </x:row>
    <x:row r="27" ht="28" customHeight="1">
      <x:c r="A27" s="16" t="str">
        <x:v>Беловская ГРЭС</x:v>
      </x:c>
      <x:c r="B27" s="16" t="str">
        <x:v>2000007255-U112</x:v>
      </x:c>
      <x:c r="C27" s="16" t="str">
        <x:v>ПРОВОД ПЭТВ-2 0,35</x:v>
      </x:c>
      <x:c r="D27" s="16" t="str">
        <x:v>Кабель общепромышленный и провод</x:v>
      </x:c>
      <x:c r="E27" s="16" t="str">
        <x:v>КГ</x:v>
      </x:c>
      <x:c r="F27" s="29" t="n">
        <x:v>2.86</x:v>
      </x:c>
      <x:c r="G27" s="17" t="n">
        <x:v>1190.6345999999999</x:v>
      </x:c>
      <x:c r="H27" s="17" t="n">
        <x:f>G27*F27</x:f>
        <x:v>3405.2149559999993</x:v>
      </x:c>
      <x:c r="I27" s="22" t="str">
        <x:f>HYPERLINK("https://etp-aktiv.ru/catalog/materialy/kabelno-provodnikovaya-produkciya/2000007255-U112/","Открыть позицию")</x:f>
        <x:v>Открыть позицию</x:v>
      </x:c>
    </x:row>
    <x:row r="28" ht="28" customHeight="1">
      <x:c r="A28" s="16" t="str">
        <x:v>Беловская ГРЭС</x:v>
      </x:c>
      <x:c r="B28" s="16" t="str">
        <x:v>2000522577-U112</x:v>
      </x:c>
      <x:c r="C28" s="16" t="str">
        <x:v>ХОМУТ-СТЯЖКА 200*3,6 REXANT 67-0201 100</x:v>
      </x:c>
      <x:c r="D28" s="16" t="str">
        <x:v>Монтажные изделия для кабельной продукции</x:v>
      </x:c>
      <x:c r="E28" s="16" t="str">
        <x:v>ШТ</x:v>
      </x:c>
      <x:c r="F28" s="21" t="n">
        <x:v>18</x:v>
      </x:c>
      <x:c r="G28" s="17" t="n">
        <x:v>228.75</x:v>
      </x:c>
      <x:c r="H28" s="17" t="n">
        <x:f>G28*F28</x:f>
        <x:v>4117.5</x:v>
      </x:c>
      <x:c r="I28" s="22" t="str">
        <x:f>HYPERLINK("https://etp-aktiv.ru/catalog/materialy/ehlektrotekhnicheskie-materialy/2000522577-U112/","Открыть позицию")</x:f>
        <x:v>Открыть позицию</x:v>
      </x:c>
    </x:row>
    <x:row r="29" ht="28" customHeight="1">
      <x:c r="A29" s="16" t="str">
        <x:v>Беловская ГРЭС</x:v>
      </x:c>
      <x:c r="B29" s="16" t="str">
        <x:v>2000533315-U112</x:v>
      </x:c>
      <x:c r="C29" s="16" t="str">
        <x:v>ХОМУТ-СТЯЖКА НЕЙЛОН 5*300 100ШТ</x:v>
      </x:c>
      <x:c r="D29" s="16" t="str">
        <x:v>Монтажные изделия для кабельной продукции</x:v>
      </x:c>
      <x:c r="E29" s="16" t="str">
        <x:v>ШТ</x:v>
      </x:c>
      <x:c r="F29" s="21" t="n">
        <x:v>5</x:v>
      </x:c>
      <x:c r="G29" s="17" t="n">
        <x:v>209.46179999999998</x:v>
      </x:c>
      <x:c r="H29" s="17" t="n">
        <x:f>G29*F29</x:f>
        <x:v>1047.309</x:v>
      </x:c>
      <x:c r="I29" s="22" t="str">
        <x:f>HYPERLINK("https://etp-aktiv.ru/catalog/materialy/ehlektrotekhnicheskie-materialy/2000533315-U112/","Открыть позицию")</x:f>
        <x:v>Открыть позицию</x:v>
      </x:c>
    </x:row>
    <x:row r="30" ht="28" customHeight="1">
      <x:c r="A30" s="16" t="str">
        <x:v>Кемеровская ГРЭС</x:v>
      </x:c>
      <x:c r="B30" s="16" t="str">
        <x:v>2000532479-U311</x:v>
      </x:c>
      <x:c r="C30" s="16" t="str">
        <x:v>ВИНТ М6*10 ВМ610К (OSTEC)</x:v>
      </x:c>
      <x:c r="D30" s="16" t="str">
        <x:v>Монтажные изделия для кабельной продукции</x:v>
      </x:c>
      <x:c r="E30" s="16" t="str">
        <x:v>ШТ</x:v>
      </x:c>
      <x:c r="F30" s="21" t="n">
        <x:v>100</x:v>
      </x:c>
      <x:c r="G30" s="17" t="n">
        <x:v>0.7564</x:v>
      </x:c>
      <x:c r="H30" s="17" t="n">
        <x:f>G30*F30</x:f>
        <x:v>75.64</x:v>
      </x:c>
      <x:c r="I30" s="22" t="str">
        <x:f>HYPERLINK("https://etp-aktiv.ru/catalog/materialy/ehlektrotekhnicheskie-materialy/2000532479-U311/","Открыть позицию")</x:f>
        <x:v>Открыть позицию</x:v>
      </x:c>
    </x:row>
    <x:row r="31" ht="28" customHeight="1">
      <x:c r="A31" s="16" t="str">
        <x:v>Кемеровская ГРЭС</x:v>
      </x:c>
      <x:c r="B31" s="16" t="str">
        <x:v>2000563697-U311</x:v>
      </x:c>
      <x:c r="C31" s="16" t="str">
        <x:v>КАБЕЛЬ HAMA USB AM/BM H-45023 5М</x:v>
      </x:c>
      <x:c r="D31" s="16" t="str">
        <x:v>Расходные материалы</x:v>
      </x:c>
      <x:c r="E31" s="16" t="str">
        <x:v>ШТ</x:v>
      </x:c>
      <x:c r="F31" s="21" t="n">
        <x:v>1</x:v>
      </x:c>
      <x:c r="G31" s="17" t="n">
        <x:v>266.57</x:v>
      </x:c>
      <x:c r="H31" s="17" t="n">
        <x:f>G31*F31</x:f>
        <x:v>266.57</x:v>
      </x:c>
      <x:c r="I31" s="22" t="str">
        <x:f>HYPERLINK("https://etp-aktiv.ru/catalog/materialy/komplektuyushchie-i-zapasnye-chasti-k-kompyuternomu-i-ofisnomu-oborudovaniyu/2000563697-U311/","Открыть позицию")</x:f>
        <x:v>Открыть позицию</x:v>
      </x:c>
    </x:row>
    <x:row r="32" ht="28" customHeight="1">
      <x:c r="A32" s="16" t="str">
        <x:v>Кемеровская ГРЭС</x:v>
      </x:c>
      <x:c r="B32" s="16" t="str">
        <x:v>2000114348-U311</x:v>
      </x:c>
      <x:c r="C32" s="16" t="str">
        <x:v>КАБЕЛЬ UTP 4*2*0,52</x:v>
      </x:c>
      <x:c r="D32" s="16" t="str">
        <x:v>Кабельно-проводниковая продукция</x:v>
      </x:c>
      <x:c r="E32" s="16" t="str">
        <x:v>М</x:v>
      </x:c>
      <x:c r="F32" s="21" t="n">
        <x:v>5</x:v>
      </x:c>
      <x:c r="G32" s="17" t="n">
        <x:v>10.248</x:v>
      </x:c>
      <x:c r="H32" s="17" t="n">
        <x:f>G32*F32</x:f>
        <x:v>51.239999999999995</x:v>
      </x:c>
      <x:c r="I32" s="22" t="str">
        <x:f>HYPERLINK("https://etp-aktiv.ru/catalog/materialy/komplektuyushchie-i-zapasnye-chasti-k-kompyuternomu-i-ofisnomu-oborudovaniyu/2000114348-U311/","Открыть позицию")</x:f>
        <x:v>Открыть позицию</x:v>
      </x:c>
    </x:row>
    <x:row r="33" ht="28" customHeight="1">
      <x:c r="A33" s="16" t="str">
        <x:v>Кемеровская ГРЭС</x:v>
      </x:c>
      <x:c r="B33" s="16" t="str">
        <x:v>2000142794-U311</x:v>
      </x:c>
      <x:c r="C33" s="16" t="str">
        <x:v>КАБЕЛЬ ВВГНГ 3*1,5 1КВ</x:v>
      </x:c>
      <x:c r="D33" s="16" t="str">
        <x:v>Кабель общепромышленный и провод</x:v>
      </x:c>
      <x:c r="E33" s="16" t="str">
        <x:v>КМ</x:v>
      </x:c>
      <x:c r="F33" s="30" t="n">
        <x:v>0.78</x:v>
      </x:c>
      <x:c r="G33" s="17" t="n">
        <x:v>28694.399999999998</x:v>
      </x:c>
      <x:c r="H33" s="17" t="n">
        <x:f>G33*F33</x:f>
        <x:v>22381.631999999998</x:v>
      </x:c>
      <x:c r="I33" s="22" t="str">
        <x:f>HYPERLINK("https://etp-aktiv.ru/catalog/materialy/kabelno-provodnikovaya-produkciya/2000142794-U311/","Открыть позицию")</x:f>
        <x:v>Открыть позицию</x:v>
      </x:c>
    </x:row>
    <x:row r="34" ht="28" customHeight="1">
      <x:c r="A34" s="16" t="str">
        <x:v>Кемеровская ГРЭС</x:v>
      </x:c>
      <x:c r="B34" s="16" t="str">
        <x:v>2000675288-U311</x:v>
      </x:c>
      <x:c r="C34" s="16" t="str">
        <x:v>КАБЕЛЬ ВВГНГ(А)-LS 3*120 1КВ</x:v>
      </x:c>
      <x:c r="D34" s="16" t="str">
        <x:v>Кабель общепромышленный и провод</x:v>
      </x:c>
      <x:c r="E34" s="16" t="str">
        <x:v>КМ</x:v>
      </x:c>
      <x:c r="F34" s="30" t="n">
        <x:v>0.2</x:v>
      </x:c>
      <x:c r="G34" s="17" t="n">
        <x:v>4502816.687</x:v>
      </x:c>
      <x:c r="H34" s="17" t="n">
        <x:f>G34*F34</x:f>
        <x:v>900563.3374000001</x:v>
      </x:c>
      <x:c r="I34" s="22" t="str">
        <x:f>HYPERLINK("https://etp-aktiv.ru/catalog/materialy/kabelno-provodnikovaya-produkciya/2000675288-U311/","Открыть позицию")</x:f>
        <x:v>Открыть позицию</x:v>
      </x:c>
    </x:row>
    <x:row r="35" ht="28" customHeight="1">
      <x:c r="A35" s="16" t="str">
        <x:v>Кемеровская ГРЭС</x:v>
      </x:c>
      <x:c r="B35" s="16" t="str">
        <x:v>M2000344015-U311</x:v>
      </x:c>
      <x:c r="C35" s="16" t="str">
        <x:v>КАБЕЛЬ КВББШВ 7*1,5 0,66КВ</x:v>
      </x:c>
      <x:c r="D35" s="16" t="str">
        <x:v>Кабельно-проводниковая продукция</x:v>
      </x:c>
      <x:c r="E35" s="16" t="str">
        <x:v>КМ</x:v>
      </x:c>
      <x:c r="F35" s="30" t="n">
        <x:v>0.74</x:v>
      </x:c>
      <x:c r="G35" s="17" t="n">
        <x:v>89526.52799999999</x:v>
      </x:c>
      <x:c r="H35" s="17" t="n">
        <x:f>G35*F35</x:f>
        <x:v>66249.63071999999</x:v>
      </x:c>
      <x:c r="I35" s="22" t="str">
        <x:f>HYPERLINK("https://etp-aktiv.ru/catalog/materialy/kabelno-provodnikovaya-produkciya/M2000344015-U311/","Открыть позицию")</x:f>
        <x:v>Открыть позицию</x:v>
      </x:c>
    </x:row>
    <x:row r="36" ht="28" customHeight="1">
      <x:c r="A36" s="16" t="str">
        <x:v>Кемеровская ГРЭС</x:v>
      </x:c>
      <x:c r="B36" s="16" t="str">
        <x:v>M2001041801-U311</x:v>
      </x:c>
      <x:c r="C36" s="16" t="str">
        <x:v>КАБЕЛЬ КГВВ 7*0,5 1КВ</x:v>
      </x:c>
      <x:c r="D36" s="16" t="str">
        <x:v>Кабель общепромышленный и провод</x:v>
      </x:c>
      <x:c r="E36" s="16" t="str">
        <x:v>КМ</x:v>
      </x:c>
      <x:c r="F36" s="30" t="n">
        <x:v>0.27</x:v>
      </x:c>
      <x:c r="G36" s="17" t="n">
        <x:v>67290.24680000001</x:v>
      </x:c>
      <x:c r="H36" s="17" t="n">
        <x:f>G36*F36</x:f>
        <x:v>18168.366636000002</x:v>
      </x:c>
      <x:c r="I36" s="22" t="str">
        <x:f>HYPERLINK("https://etp-aktiv.ru/catalog/materialy/kabelno-provodnikovaya-produkciya/M2001041801-U311/","Открыть позицию")</x:f>
        <x:v>Открыть позицию</x:v>
      </x:c>
    </x:row>
    <x:row r="37" ht="28" customHeight="1">
      <x:c r="A37" s="16" t="str">
        <x:v>Кемеровская ГРЭС</x:v>
      </x:c>
      <x:c r="B37" s="16" t="str">
        <x:v>2000215261-U311</x:v>
      </x:c>
      <x:c r="C37" s="16" t="str">
        <x:v>КОРОБКА РАСПАЯЧНАЯ КМ41222</x:v>
      </x:c>
      <x:c r="D37" s="16" t="str">
        <x:v>Мотажные изд д/кабел</x:v>
      </x:c>
      <x:c r="E37" s="16" t="str">
        <x:v>ШТ</x:v>
      </x:c>
      <x:c r="F37" s="21" t="n">
        <x:v>1</x:v>
      </x:c>
      <x:c r="G37" s="17" t="n">
        <x:v>21.2158</x:v>
      </x:c>
      <x:c r="H37" s="17" t="n">
        <x:f>G37*F37</x:f>
        <x:v>21.2158</x:v>
      </x:c>
      <x:c r="I37" s="22" t="str">
        <x:f>HYPERLINK("https://etp-aktiv.ru/catalog/materialy/ehlektrotekhnicheskie-materialy/2000215261-U311/","Открыть позицию")</x:f>
        <x:v>Открыть позицию</x:v>
      </x:c>
    </x:row>
    <x:row r="38" ht="28" customHeight="1">
      <x:c r="A38" s="16" t="str">
        <x:v>Кемеровская ГРЭС</x:v>
      </x:c>
      <x:c r="B38" s="16" t="str">
        <x:v>2000030679-U311</x:v>
      </x:c>
      <x:c r="C38" s="16" t="str">
        <x:v>МЕТАЛЛОРУКАВ С УПЛ РЗ-Ц-Х-50</x:v>
      </x:c>
      <x:c r="D38" s="16" t="str">
        <x:v>Мотажные изд д/кабел</x:v>
      </x:c>
      <x:c r="E38" s="16" t="str">
        <x:v>М</x:v>
      </x:c>
      <x:c r="F38" s="21" t="n">
        <x:v>15</x:v>
      </x:c>
      <x:c r="G38" s="17" t="n">
        <x:v>12.2488</x:v>
      </x:c>
      <x:c r="H38" s="17" t="n">
        <x:f>G38*F38</x:f>
        <x:v>183.732</x:v>
      </x:c>
      <x:c r="I38" s="22" t="str">
        <x:f>HYPERLINK("https://etp-aktiv.ru/catalog/materialy/ehlektrotekhnicheskie-materialy/2000030679-U311/","Открыть позицию")</x:f>
        <x:v>Открыть позицию</x:v>
      </x:c>
    </x:row>
    <x:row r="39" ht="28" customHeight="1">
      <x:c r="A39" s="16" t="str">
        <x:v>Кемеровская ГРЭС</x:v>
      </x:c>
      <x:c r="B39" s="16" t="str">
        <x:v>M2000684105-U311</x:v>
      </x:c>
      <x:c r="C39" s="16" t="str">
        <x:v>ПРОВОД КМТВЭВ ХА 14*1,5 ТУ16-505.302-81</x:v>
      </x:c>
      <x:c r="D39" s="16" t="str">
        <x:v>Кабельно-проводниковая продукция</x:v>
      </x:c>
      <x:c r="E39" s="16" t="str">
        <x:v>КМ</x:v>
      </x:c>
      <x:c r="F39" s="30" t="n">
        <x:v>0.13</x:v>
      </x:c>
      <x:c r="G39" s="17" t="n">
        <x:v>180567.19799999997</x:v>
      </x:c>
      <x:c r="H39" s="17" t="n">
        <x:f>G39*F39</x:f>
        <x:v>23473.735739999996</x:v>
      </x:c>
      <x:c r="I39" s="22" t="str">
        <x:f>HYPERLINK("https://etp-aktiv.ru/catalog/materialy/zapasnye-chasti-i-prinadlezhnosti-dlya-priborov-kipia/M2000684105-U311/","Открыть позицию")</x:f>
        <x:v>Открыть позицию</x:v>
      </x:c>
    </x:row>
    <x:row r="40" ht="28" customHeight="1">
      <x:c r="A40" s="16" t="str">
        <x:v>Кемеровская ГРЭС</x:v>
      </x:c>
      <x:c r="B40" s="16" t="str">
        <x:v>M2000688126-U311</x:v>
      </x:c>
      <x:c r="C40" s="16" t="str">
        <x:v>ПРОВОД КМТВЭВ-М 13*1+13*1,5 ТУ16-505.302</x:v>
      </x:c>
      <x:c r="D40" s="16" t="str">
        <x:v>Кабел-проводн продук</x:v>
      </x:c>
      <x:c r="E40" s="16" t="str">
        <x:v>КМ</x:v>
      </x:c>
      <x:c r="F40" s="30" t="n">
        <x:v>0.145</x:v>
      </x:c>
      <x:c r="G40" s="17" t="n">
        <x:v>214000.0048</x:v>
      </x:c>
      <x:c r="H40" s="17" t="n">
        <x:f>G40*F40</x:f>
        <x:v>31030.000695999996</x:v>
      </x:c>
      <x:c r="I40" s="22" t="str">
        <x:f>HYPERLINK("https://etp-aktiv.ru/catalog/materialy/zapasnye-chasti-i-prinadlezhnosti-dlya-priborov-kipia/M2000688126-U311/","Открыть позицию")</x:f>
        <x:v>Открыть позицию</x:v>
      </x:c>
    </x:row>
    <x:row r="41" ht="28" customHeight="1">
      <x:c r="A41" s="16" t="str">
        <x:v>Кемеровская ГРЭС</x:v>
      </x:c>
      <x:c r="B41" s="16" t="str">
        <x:v>2000531577-U311</x:v>
      </x:c>
      <x:c r="C41" s="16" t="str">
        <x:v>ПРОВОД МГ 4</x:v>
      </x:c>
      <x:c r="D41" s="16" t="str">
        <x:v>Кабел-проводн продук</x:v>
      </x:c>
      <x:c r="E41" s="16" t="str">
        <x:v>КГ</x:v>
      </x:c>
      <x:c r="F41" s="30" t="n">
        <x:v>0.25</x:v>
      </x:c>
      <x:c r="G41" s="17" t="n">
        <x:v>951.6</x:v>
      </x:c>
      <x:c r="H41" s="17" t="n">
        <x:f>G41*F41</x:f>
        <x:v>237.9</x:v>
      </x:c>
      <x:c r="I41" s="22" t="str">
        <x:f>HYPERLINK("https://etp-aktiv.ru/catalog/materialy/kabelno-provodnikovaya-produkciya/2000531577-U311/","Открыть позицию")</x:f>
        <x:v>Открыть позицию</x:v>
      </x:c>
    </x:row>
    <x:row r="42" ht="28" customHeight="1">
      <x:c r="A42" s="16" t="str">
        <x:v>Кемеровская ТЭЦ</x:v>
      </x:c>
      <x:c r="B42" s="16" t="str">
        <x:v>2000501857-U312</x:v>
      </x:c>
      <x:c r="C42" s="16" t="str">
        <x:v>БУМАГА КАБЕЛЬНАЯ ИЗОЛЯЦ К-120 700ММ</x:v>
      </x:c>
      <x:c r="D42" s="16" t="str">
        <x:v>Электроизоляционные материалы</x:v>
      </x:c>
      <x:c r="E42" s="16" t="str">
        <x:v>КГ</x:v>
      </x:c>
      <x:c r="F42" s="29" t="n">
        <x:v>1.54</x:v>
      </x:c>
      <x:c r="G42" s="17" t="n">
        <x:v>576.4499999999999</x:v>
      </x:c>
      <x:c r="H42" s="17" t="n">
        <x:f>G42*F42</x:f>
        <x:v>887.733</x:v>
      </x:c>
      <x:c r="I42" s="22" t="str">
        <x:f>HYPERLINK("https://etp-aktiv.ru/catalog/materialy/ehlektroizolyacionnye-materialy/2000501857-U312/","Открыть позицию")</x:f>
        <x:v>Открыть позицию</x:v>
      </x:c>
    </x:row>
    <x:row r="43" ht="28" customHeight="1">
      <x:c r="A43" s="16" t="str">
        <x:v>Кемеровская ТЭЦ</x:v>
      </x:c>
      <x:c r="B43" s="16" t="str">
        <x:v>2000066903-U312</x:v>
      </x:c>
      <x:c r="C43" s="16" t="str">
        <x:v>КАБЕЛЬ ААБЛ 3*95 6КВ</x:v>
      </x:c>
      <x:c r="D43" s="16" t="str">
        <x:v>@Кабельно-проводниковая продукция</x:v>
      </x:c>
      <x:c r="E43" s="16" t="str">
        <x:v>КМ</x:v>
      </x:c>
      <x:c r="F43" s="30" t="n">
        <x:v>0.015</x:v>
      </x:c>
      <x:c r="G43" s="17" t="n">
        <x:v>698218.2</x:v>
      </x:c>
      <x:c r="H43" s="17" t="n">
        <x:f>G43*F43</x:f>
        <x:v>10473.273</x:v>
      </x:c>
      <x:c r="I43" s="22" t="str">
        <x:f>HYPERLINK("https://etp-aktiv.ru/catalog/materialy/kabelno-provodnikovaya-produkciya/2000066903-U312/","Открыть позицию")</x:f>
        <x:v>Открыть позицию</x:v>
      </x:c>
    </x:row>
    <x:row r="44" ht="28" customHeight="1">
      <x:c r="A44" s="16" t="str">
        <x:v>Кемеровская ТЭЦ</x:v>
      </x:c>
      <x:c r="B44" s="16" t="str">
        <x:v>2000212143-U312</x:v>
      </x:c>
      <x:c r="C44" s="16" t="str">
        <x:v>КАБЕЛЬ АВВГНГ 2*6 1КВ</x:v>
      </x:c>
      <x:c r="D44" s="16" t="str">
        <x:v>@Кабельно-проводниковая продукция</x:v>
      </x:c>
      <x:c r="E44" s="16" t="str">
        <x:v>КМ</x:v>
      </x:c>
      <x:c r="F44" s="30" t="n">
        <x:v>0.04</x:v>
      </x:c>
      <x:c r="G44" s="17" t="n">
        <x:v>22875</x:v>
      </x:c>
      <x:c r="H44" s="17" t="n">
        <x:f>G44*F44</x:f>
        <x:v>915</x:v>
      </x:c>
      <x:c r="I44" s="22" t="str">
        <x:f>HYPERLINK("https://etp-aktiv.ru/catalog/materialy/kabelno-provodnikovaya-produkciya/2000212143-U312/","Открыть позицию")</x:f>
        <x:v>Открыть позицию</x:v>
      </x:c>
    </x:row>
    <x:row r="45" ht="28" customHeight="1">
      <x:c r="A45" s="16" t="str">
        <x:v>Кемеровская ТЭЦ</x:v>
      </x:c>
      <x:c r="B45" s="16" t="str">
        <x:v>2000531085-U312</x:v>
      </x:c>
      <x:c r="C45" s="16" t="str">
        <x:v>КАБЕЛЬ АВВГНГ 3*95+1*50 1КВ</x:v>
      </x:c>
      <x:c r="D45" s="16" t="str">
        <x:v>Кабель общепромышленный и провод</x:v>
      </x:c>
      <x:c r="E45" s="16" t="str">
        <x:v>КМ</x:v>
      </x:c>
      <x:c r="F45" s="30" t="n">
        <x:v>0.18</x:v>
      </x:c>
      <x:c r="G45" s="17" t="n">
        <x:v>465158.55</x:v>
      </x:c>
      <x:c r="H45" s="17" t="n">
        <x:f>G45*F45</x:f>
        <x:v>83728.53899999999</x:v>
      </x:c>
      <x:c r="I45" s="22" t="str">
        <x:f>HYPERLINK("https://etp-aktiv.ru/catalog/materialy/kabelno-provodnikovaya-produkciya/2000531085-U312/","Открыть позицию")</x:f>
        <x:v>Открыть позицию</x:v>
      </x:c>
    </x:row>
    <x:row r="46" ht="28" customHeight="1">
      <x:c r="A46" s="16" t="str">
        <x:v>Кемеровская ТЭЦ</x:v>
      </x:c>
      <x:c r="B46" s="16" t="str">
        <x:v>2000531144-U312</x:v>
      </x:c>
      <x:c r="C46" s="16" t="str">
        <x:v>КАБЕЛЬ АСБНЛШНГ 3*150 10КВ</x:v>
      </x:c>
      <x:c r="D46" s="16" t="str">
        <x:v>Кабель общепромышленный и провод</x:v>
      </x:c>
      <x:c r="E46" s="16" t="str">
        <x:v>М</x:v>
      </x:c>
      <x:c r="F46" s="21" t="n">
        <x:v>229</x:v>
      </x:c>
      <x:c r="G46" s="17" t="n">
        <x:v>3053.0499999999997</x:v>
      </x:c>
      <x:c r="H46" s="17" t="n">
        <x:f>G46*F46</x:f>
        <x:v>699148.45</x:v>
      </x:c>
      <x:c r="I46" s="22" t="str">
        <x:f>HYPERLINK("https://etp-aktiv.ru/catalog/materialy/kabelno-provodnikovaya-produkciya/2000531144-U312/","Открыть позицию")</x:f>
        <x:v>Открыть позицию</x:v>
      </x:c>
    </x:row>
    <x:row r="47" ht="28" customHeight="1">
      <x:c r="A47" s="16" t="str">
        <x:v>Кемеровская ТЭЦ</x:v>
      </x:c>
      <x:c r="B47" s="16" t="str">
        <x:v>2000494078-U312</x:v>
      </x:c>
      <x:c r="C47" s="16" t="str">
        <x:v>КАБЕЛЬ ВВГНГ(А)-LS 5*50 1КВ</x:v>
      </x:c>
      <x:c r="D47" s="16" t="str">
        <x:v>Кабель общепромышленный и провод</x:v>
      </x:c>
      <x:c r="E47" s="16" t="str">
        <x:v>КМ</x:v>
      </x:c>
      <x:c r="F47" s="30" t="n">
        <x:v>0.176</x:v>
      </x:c>
      <x:c r="G47" s="17" t="n">
        <x:v>2836949.5944</x:v>
      </x:c>
      <x:c r="H47" s="17" t="n">
        <x:f>G47*F47</x:f>
        <x:v>499303.12861439993</x:v>
      </x:c>
      <x:c r="I47" s="22" t="str">
        <x:f>HYPERLINK("https://etp-aktiv.ru/catalog/materialy/kabelno-provodnikovaya-produkciya/2000494078-U312/","Открыть позицию")</x:f>
        <x:v>Открыть позицию</x:v>
      </x:c>
    </x:row>
    <x:row r="48" ht="28" customHeight="1">
      <x:c r="A48" s="16" t="str">
        <x:v>Кемеровская ТЭЦ</x:v>
      </x:c>
      <x:c r="B48" s="16" t="str">
        <x:v>2000143961-U312</x:v>
      </x:c>
      <x:c r="C48" s="16" t="str">
        <x:v>КАБЕЛЬ ВВГНГ-LS 4*2,5 0,66КВ</x:v>
      </x:c>
      <x:c r="D48" s="16" t="str">
        <x:v>Кабель общепромышленный и провод</x:v>
      </x:c>
      <x:c r="E48" s="16" t="str">
        <x:v>КМ</x:v>
      </x:c>
      <x:c r="F48" s="30" t="n">
        <x:v>0.004</x:v>
      </x:c>
      <x:c r="G48" s="17" t="n">
        <x:v>66642.5</x:v>
      </x:c>
      <x:c r="H48" s="17" t="n">
        <x:f>G48*F48</x:f>
        <x:v>266.57</x:v>
      </x:c>
      <x:c r="I48" s="22" t="str">
        <x:f>HYPERLINK("https://etp-aktiv.ru/catalog/materialy/kabelno-provodnikovaya-produkciya/2000143961-U312/","Открыть позицию")</x:f>
        <x:v>Открыть позицию</x:v>
      </x:c>
    </x:row>
    <x:row r="49" ht="28" customHeight="1">
      <x:c r="A49" s="16" t="str">
        <x:v>Кемеровская ТЭЦ</x:v>
      </x:c>
      <x:c r="B49" s="16" t="str">
        <x:v>2000242060-U312</x:v>
      </x:c>
      <x:c r="C49" s="16" t="str">
        <x:v>КАБЕЛЬ ВВГЭНГ-LS 4*10 0,66КВ</x:v>
      </x:c>
      <x:c r="D49" s="16" t="str">
        <x:v>Кабель общепромышленный и провод</x:v>
      </x:c>
      <x:c r="E49" s="16" t="str">
        <x:v>КМ</x:v>
      </x:c>
      <x:c r="F49" s="30" t="n">
        <x:v>0.268</x:v>
      </x:c>
      <x:c r="G49" s="17" t="n">
        <x:v>658270.7152</x:v>
      </x:c>
      <x:c r="H49" s="17" t="n">
        <x:f>G49*F49</x:f>
        <x:v>176416.5516736</x:v>
      </x:c>
      <x:c r="I49" s="22" t="str">
        <x:f>HYPERLINK("https://etp-aktiv.ru/catalog/materialy/kabelno-provodnikovaya-produkciya/2000242060-U312/","Открыть позицию")</x:f>
        <x:v>Открыть позицию</x:v>
      </x:c>
    </x:row>
    <x:row r="50" ht="28" customHeight="1">
      <x:c r="A50" s="16" t="str">
        <x:v>Кемеровская ТЭЦ</x:v>
      </x:c>
      <x:c r="B50" s="16" t="str">
        <x:v>2000470197-U312</x:v>
      </x:c>
      <x:c r="C50" s="16" t="str">
        <x:v>КАБЕЛЬ КВВГЭНГ(А)-LS 14*1,5 0,66КВ</x:v>
      </x:c>
      <x:c r="D50" s="16" t="str">
        <x:v>Кабель общепромышленный и провод</x:v>
      </x:c>
      <x:c r="E50" s="16" t="str">
        <x:v>КМ</x:v>
      </x:c>
      <x:c r="F50" s="30" t="n">
        <x:v>0.007</x:v>
      </x:c>
      <x:c r="G50" s="17" t="n">
        <x:v>325402.7554</x:v>
      </x:c>
      <x:c r="H50" s="17" t="n">
        <x:f>G50*F50</x:f>
        <x:v>2277.8192878000004</x:v>
      </x:c>
      <x:c r="I50" s="22" t="str">
        <x:f>HYPERLINK("https://etp-aktiv.ru/catalog/materialy/kabelno-provodnikovaya-produkciya/2000470197-U312/","Открыть позицию")</x:f>
        <x:v>Открыть позицию</x:v>
      </x:c>
    </x:row>
    <x:row r="51" ht="28" customHeight="1">
      <x:c r="A51" s="16" t="str">
        <x:v>Кемеровская ТЭЦ</x:v>
      </x:c>
      <x:c r="B51" s="16" t="str">
        <x:v>2000160958-U312</x:v>
      </x:c>
      <x:c r="C51" s="16" t="str">
        <x:v>КАБЕЛЬ КВВГЭНГ-LS 4*6 0,66КВ</x:v>
      </x:c>
      <x:c r="D51" s="16" t="str">
        <x:v>Кабель общепромышленный и провод</x:v>
      </x:c>
      <x:c r="E51" s="16" t="str">
        <x:v>КМ</x:v>
      </x:c>
      <x:c r="F51" s="30" t="n">
        <x:v>0.075</x:v>
      </x:c>
      <x:c r="G51" s="17" t="n">
        <x:v>107604</x:v>
      </x:c>
      <x:c r="H51" s="17" t="n">
        <x:f>G51*F51</x:f>
        <x:v>8070.299999999999</x:v>
      </x:c>
      <x:c r="I51" s="22" t="str">
        <x:f>HYPERLINK("https://etp-aktiv.ru/catalog/materialy/kabelno-provodnikovaya-produkciya/2000160958-U312/","Открыть позицию")</x:f>
        <x:v>Открыть позицию</x:v>
      </x:c>
    </x:row>
    <x:row r="52" ht="28" customHeight="1">
      <x:c r="A52" s="16" t="str">
        <x:v>Кемеровская ТЭЦ</x:v>
      </x:c>
      <x:c r="B52" s="16" t="str">
        <x:v>2000016891-U312</x:v>
      </x:c>
      <x:c r="C52" s="16" t="str">
        <x:v>КАБЕЛЬ КГ-ХЛ 4*4 0,66КВ</x:v>
      </x:c>
      <x:c r="D52" s="16" t="str">
        <x:v>Кабель общепромышленный и провод</x:v>
      </x:c>
      <x:c r="E52" s="16" t="str">
        <x:v>КМ</x:v>
      </x:c>
      <x:c r="F52" s="30" t="n">
        <x:v>0.68</x:v>
      </x:c>
      <x:c r="G52" s="17" t="n">
        <x:v>267172.192</x:v>
      </x:c>
      <x:c r="H52" s="17" t="n">
        <x:f>G52*F52</x:f>
        <x:v>181677.09056</x:v>
      </x:c>
      <x:c r="I52" s="22" t="str">
        <x:f>HYPERLINK("https://etp-aktiv.ru/catalog/materialy/kabelno-provodnikovaya-produkciya/2000016891-U312/","Открыть позицию")</x:f>
        <x:v>Открыть позицию</x:v>
      </x:c>
    </x:row>
    <x:row r="53" ht="28" customHeight="1">
      <x:c r="A53" s="16" t="str">
        <x:v>Кемеровская ТЭЦ</x:v>
      </x:c>
      <x:c r="B53" s="16" t="str">
        <x:v>2000332788-U312</x:v>
      </x:c>
      <x:c r="C53" s="16" t="str">
        <x:v>КАБЕЛЬ КПСНГ(А)-FRLS 2*2*1 0,3КВ</x:v>
      </x:c>
      <x:c r="D53" s="16" t="str">
        <x:v>Кабель общепромышленный и провод</x:v>
      </x:c>
      <x:c r="E53" s="16" t="str">
        <x:v>КМ</x:v>
      </x:c>
      <x:c r="F53" s="21" t="n">
        <x:v>2</x:v>
      </x:c>
      <x:c r="G53" s="17" t="n">
        <x:v>29389.8</x:v>
      </x:c>
      <x:c r="H53" s="17" t="n">
        <x:f>G53*F53</x:f>
        <x:v>58779.6</x:v>
      </x:c>
      <x:c r="I53" s="22" t="str">
        <x:f>HYPERLINK("https://etp-aktiv.ru/catalog/materialy/kabelno-provodnikovaya-produkciya/2000332788-U312/","Открыть позицию")</x:f>
        <x:v>Открыть позицию</x:v>
      </x:c>
    </x:row>
    <x:row r="54" ht="28" customHeight="1">
      <x:c r="A54" s="16" t="str">
        <x:v>Кемеровская ТЭЦ</x:v>
      </x:c>
      <x:c r="B54" s="16" t="str">
        <x:v>2000566901-U312</x:v>
      </x:c>
      <x:c r="C54" s="16" t="str">
        <x:v>КАБЕЛЬ-КАНАЛ 110*50 DKC 01199</x:v>
      </x:c>
      <x:c r="D54" s="16" t="str">
        <x:v>Монтажные изделия для кабельной продукции</x:v>
      </x:c>
      <x:c r="E54" s="16" t="str">
        <x:v>М</x:v>
      </x:c>
      <x:c r="F54" s="21" t="n">
        <x:v>20</x:v>
      </x:c>
      <x:c r="G54" s="17" t="n">
        <x:v>1920.0847999999999</x:v>
      </x:c>
      <x:c r="H54" s="17" t="n">
        <x:f>G54*F54</x:f>
        <x:v>38401.695999999996</x:v>
      </x:c>
      <x:c r="I54" s="22" t="str">
        <x:f>HYPERLINK("https://etp-aktiv.ru/catalog/materialy/ehlektrotekhnicheskie-materialy/2000566901-U312/","Открыть позицию")</x:f>
        <x:v>Открыть позицию</x:v>
      </x:c>
    </x:row>
    <x:row r="55" ht="28" customHeight="1">
      <x:c r="A55" s="16" t="str">
        <x:v>Кемеровская ТЭЦ</x:v>
      </x:c>
      <x:c r="B55" s="16" t="str">
        <x:v>2000009379-U312</x:v>
      </x:c>
      <x:c r="C55" s="16" t="str">
        <x:v>МУФТА КАБЕЛЬНАЯ 3КВТП-10 25-50</x:v>
      </x:c>
      <x:c r="D55" s="16" t="str">
        <x:v>Монтажные изделия для кабельной продукции</x:v>
      </x:c>
      <x:c r="E55" s="16" t="str">
        <x:v>ШТ</x:v>
      </x:c>
      <x:c r="F55" s="21" t="n">
        <x:v>14</x:v>
      </x:c>
      <x:c r="G55" s="17" t="n">
        <x:v>855.7812</x:v>
      </x:c>
      <x:c r="H55" s="17" t="n">
        <x:f>G55*F55</x:f>
        <x:v>11980.9368</x:v>
      </x:c>
      <x:c r="I55" s="22" t="str">
        <x:f>HYPERLINK("https://etp-aktiv.ru/catalog/materialy/ehlektrotekhnicheskie-materialy/2000009379-U312/","Открыть позицию")</x:f>
        <x:v>Открыть позицию</x:v>
      </x:c>
    </x:row>
    <x:row r="56" ht="28" customHeight="1">
      <x:c r="A56" s="16" t="str">
        <x:v>Кемеровская теплосетевая компания</x:v>
      </x:c>
      <x:c r="B56" s="16" t="str">
        <x:v>2000977504-U121</x:v>
      </x:c>
      <x:c r="C56" s="16" t="str">
        <x:v>КАБЕЛЬ EXEGATE EX256751RUS</x:v>
      </x:c>
      <x:c r="D56" s="16" t="str">
        <x:v>Расходные материалы</x:v>
      </x:c>
      <x:c r="E56" s="16" t="str">
        <x:v>М</x:v>
      </x:c>
      <x:c r="F56" s="21" t="n">
        <x:v>1</x:v>
      </x:c>
      <x:c r="G56" s="17" t="n">
        <x:v>651.1994</x:v>
      </x:c>
      <x:c r="H56" s="17" t="n">
        <x:f>G56*F56</x:f>
        <x:v>651.1994</x:v>
      </x:c>
      <x:c r="I56" s="22" t="str">
        <x:f>HYPERLINK("https://etp-aktiv.ru/catalog/materialy/komplektuyushchie-i-zapasnye-chasti-k-kompyuternomu-i-ofisnomu-oborudovaniyu/2000977504-U121/","Открыть позицию")</x:f>
        <x:v>Открыть позицию</x:v>
      </x:c>
    </x:row>
    <x:row r="57" ht="28" customHeight="1">
      <x:c r="A57" s="16" t="str">
        <x:v>Кемеровская теплосетевая компания</x:v>
      </x:c>
      <x:c r="B57" s="16" t="str">
        <x:v>2000977516-U121</x:v>
      </x:c>
      <x:c r="C57" s="16" t="str">
        <x:v>КАБЕЛЬ FINEPOWER FD2A0PP20RBHC 2М</x:v>
      </x:c>
      <x:c r="D57" s="16" t="str">
        <x:v>Расходные материалы</x:v>
      </x:c>
      <x:c r="E57" s="16" t="str">
        <x:v>ШТ</x:v>
      </x:c>
      <x:c r="F57" s="21" t="n">
        <x:v>2</x:v>
      </x:c>
      <x:c r="G57" s="17" t="n">
        <x:v>533.7622</x:v>
      </x:c>
      <x:c r="H57" s="17" t="n">
        <x:f>G57*F57</x:f>
        <x:v>1067.5244</x:v>
      </x:c>
      <x:c r="I57" s="22" t="str">
        <x:f>HYPERLINK("https://etp-aktiv.ru/catalog/materialy/komplektuyushchie-i-zapasnye-chasti-k-kompyuternomu-i-ofisnomu-oborudovaniyu/2000977516-U121/","Открыть позицию")</x:f>
        <x:v>Открыть позицию</x:v>
      </x:c>
    </x:row>
    <x:row r="58" ht="28" customHeight="1">
      <x:c r="A58" s="16" t="str">
        <x:v>Кемеровская теплосетевая компания</x:v>
      </x:c>
      <x:c r="B58" s="16" t="str">
        <x:v>2000530999-U121</x:v>
      </x:c>
      <x:c r="C58" s="16" t="str">
        <x:v>КАБЕЛЬ ААШВ 3*95 10КВ</x:v>
      </x:c>
      <x:c r="D58" s="16" t="str">
        <x:v>Кабель общепромышленный и провод</x:v>
      </x:c>
      <x:c r="E58" s="16" t="str">
        <x:v>КМ</x:v>
      </x:c>
      <x:c r="F58" s="30" t="n">
        <x:v>0.031</x:v>
      </x:c>
      <x:c r="G58" s="17" t="n">
        <x:v>427349.8594</x:v>
      </x:c>
      <x:c r="H58" s="17" t="n">
        <x:f>G58*F58</x:f>
        <x:v>13247.845641400001</x:v>
      </x:c>
      <x:c r="I58" s="22" t="str">
        <x:f>HYPERLINK("https://etp-aktiv.ru/catalog/materialy/kabelno-provodnikovaya-produkciya/2000530999-U121/","Открыть позицию")</x:f>
        <x:v>Открыть позицию</x:v>
      </x:c>
    </x:row>
    <x:row r="59" ht="28" customHeight="1">
      <x:c r="A59" s="16" t="str">
        <x:v>Кемеровская теплосетевая компания</x:v>
      </x:c>
      <x:c r="B59" s="16" t="str">
        <x:v>2000142795-U121</x:v>
      </x:c>
      <x:c r="C59" s="16" t="str">
        <x:v>КАБЕЛЬ ВВГНГ 3*2,5 1КВ</x:v>
      </x:c>
      <x:c r="D59" s="16" t="str">
        <x:v>Кабель общепромышленный и провод</x:v>
      </x:c>
      <x:c r="E59" s="16" t="str">
        <x:v>КМ</x:v>
      </x:c>
      <x:c r="F59" s="30" t="n">
        <x:v>0.15</x:v>
      </x:c>
      <x:c r="G59" s="17" t="n">
        <x:v>53875.2</x:v>
      </x:c>
      <x:c r="H59" s="17" t="n">
        <x:f>G59*F59</x:f>
        <x:v>8081.279999999999</x:v>
      </x:c>
      <x:c r="I59" s="22" t="str">
        <x:f>HYPERLINK("https://etp-aktiv.ru/catalog/materialy/kabelno-provodnikovaya-produkciya/2000142795-U121/","Открыть позицию")</x:f>
        <x:v>Открыть позицию</x:v>
      </x:c>
    </x:row>
    <x:row r="60" ht="28" customHeight="1">
      <x:c r="A60" s="16" t="str">
        <x:v>Кемеровская теплосетевая компания</x:v>
      </x:c>
      <x:c r="B60" s="16" t="str">
        <x:v>2000455949-U121</x:v>
      </x:c>
      <x:c r="C60" s="16" t="str">
        <x:v>КАБЕЛЬ ВВГНГ(А)-LS 3*1,5 0,66КВ</x:v>
      </x:c>
      <x:c r="D60" s="16" t="str">
        <x:v>Кабель общепромышленный и провод</x:v>
      </x:c>
      <x:c r="E60" s="16" t="str">
        <x:v>КМ</x:v>
      </x:c>
      <x:c r="F60" s="30" t="n">
        <x:v>0.022</x:v>
      </x:c>
      <x:c r="G60" s="17" t="n">
        <x:v>40619.143599999996</x:v>
      </x:c>
      <x:c r="H60" s="17" t="n">
        <x:f>G60*F60</x:f>
        <x:v>893.6211591999999</x:v>
      </x:c>
      <x:c r="I60" s="22" t="str">
        <x:f>HYPERLINK("https://etp-aktiv.ru/catalog/materialy/kabelno-provodnikovaya-produkciya/2000455949-U121/","Открыть позицию")</x:f>
        <x:v>Открыть позицию</x:v>
      </x:c>
    </x:row>
    <x:row r="61" ht="28" customHeight="1">
      <x:c r="A61" s="16" t="str">
        <x:v>Кемеровская теплосетевая компания</x:v>
      </x:c>
      <x:c r="B61" s="16" t="str">
        <x:v>2000531176-U121</x:v>
      </x:c>
      <x:c r="C61" s="16" t="str">
        <x:v>КАБЕЛЬ ВВГНГ(А)-LS 3*2,5 0,66КВ</x:v>
      </x:c>
      <x:c r="D61" s="16" t="str">
        <x:v>Кабель общепромышленный и провод</x:v>
      </x:c>
      <x:c r="E61" s="16" t="str">
        <x:v>КМ</x:v>
      </x:c>
      <x:c r="F61" s="30" t="n">
        <x:v>0.164</x:v>
      </x:c>
      <x:c r="G61" s="17" t="n">
        <x:v>66877.3744</x:v>
      </x:c>
      <x:c r="H61" s="17" t="n">
        <x:f>G61*F61</x:f>
        <x:v>10967.889401600001</x:v>
      </x:c>
      <x:c r="I61" s="22" t="str">
        <x:f>HYPERLINK("https://etp-aktiv.ru/catalog/materialy/kabelno-provodnikovaya-produkciya/2000531176-U121/","Открыть позицию")</x:f>
        <x:v>Открыть позицию</x:v>
      </x:c>
    </x:row>
    <x:row r="62" ht="28" customHeight="1">
      <x:c r="A62" s="16" t="str">
        <x:v>Кемеровская теплосетевая компания</x:v>
      </x:c>
      <x:c r="B62" s="16" t="str">
        <x:v>2000425303-U121</x:v>
      </x:c>
      <x:c r="C62" s="16" t="str">
        <x:v>КАБЕЛЬ КВВГЭНГ 7*2,5 0,66КВ</x:v>
      </x:c>
      <x:c r="D62" s="16" t="str">
        <x:v>Кабель общепромышленный и провод</x:v>
      </x:c>
      <x:c r="E62" s="16" t="str">
        <x:v>КМ</x:v>
      </x:c>
      <x:c r="F62" s="30" t="n">
        <x:v>0.015</x:v>
      </x:c>
      <x:c r="G62" s="17" t="n">
        <x:v>151478.25</x:v>
      </x:c>
      <x:c r="H62" s="17" t="n">
        <x:f>G62*F62</x:f>
        <x:v>2272.17375</x:v>
      </x:c>
      <x:c r="I62" s="22" t="str">
        <x:f>HYPERLINK("https://etp-aktiv.ru/catalog/materialy/kabelno-provodnikovaya-produkciya/2000425303-U121/","Открыть позицию")</x:f>
        <x:v>Открыть позицию</x:v>
      </x:c>
    </x:row>
    <x:row r="63" ht="28" customHeight="1">
      <x:c r="A63" s="16" t="str">
        <x:v>Кемеровская теплосетевая компания</x:v>
      </x:c>
      <x:c r="B63" s="16" t="str">
        <x:v>2000575206-U121</x:v>
      </x:c>
      <x:c r="C63" s="16" t="str">
        <x:v>КАБЕЛЬ-КАНАЛ 110*50 С КРЫШКОЙ 01050</x:v>
      </x:c>
      <x:c r="D63" s="16" t="str">
        <x:v>Монтажные изделия для кабельной продукции</x:v>
      </x:c>
      <x:c r="E63" s="16" t="str">
        <x:v>М</x:v>
      </x:c>
      <x:c r="F63" s="21" t="n">
        <x:v>10</x:v>
      </x:c>
      <x:c r="G63" s="17" t="n">
        <x:v>688.8364</x:v>
      </x:c>
      <x:c r="H63" s="17" t="n">
        <x:f>G63*F63</x:f>
        <x:v>6888.3640000000005</x:v>
      </x:c>
      <x:c r="I63" s="22" t="str">
        <x:f>HYPERLINK("https://etp-aktiv.ru/catalog/materialy/ehlektrotekhnicheskie-materialy/2000575206-U121/","Открыть позицию")</x:f>
        <x:v>Открыть позицию</x:v>
      </x:c>
    </x:row>
    <x:row r="64" ht="28" customHeight="1">
      <x:c r="A64" s="16" t="str">
        <x:v>Кемеровская теплосетевая компания</x:v>
      </x:c>
      <x:c r="B64" s="16" t="str">
        <x:v>2000226573-U121</x:v>
      </x:c>
      <x:c r="C64" s="16" t="str">
        <x:v>КАБЕЛЬ-КАНАЛ 60*40 ЭЛЕКОР</x:v>
      </x:c>
      <x:c r="D64" s="16" t="str">
        <x:v>Монтажные изделия для кабельной продукции</x:v>
      </x:c>
      <x:c r="E64" s="16" t="str">
        <x:v>М</x:v>
      </x:c>
      <x:c r="F64" s="21" t="n">
        <x:v>50</x:v>
      </x:c>
      <x:c r="G64" s="17" t="n">
        <x:v>95.6236</x:v>
      </x:c>
      <x:c r="H64" s="17" t="n">
        <x:f>G64*F64</x:f>
        <x:v>4781.179999999999</x:v>
      </x:c>
      <x:c r="I64" s="22" t="str">
        <x:f>HYPERLINK("https://etp-aktiv.ru/catalog/materialy/ehlektrotekhnicheskie-materialy/2000226573-U121/","Открыть позицию")</x:f>
        <x:v>Открыть позицию</x:v>
      </x:c>
    </x:row>
    <x:row r="65" ht="28" customHeight="1">
      <x:c r="A65" s="16" t="str">
        <x:v>Кемеровская теплосетевая компания</x:v>
      </x:c>
      <x:c r="B65" s="16" t="str">
        <x:v>2000532717-U121</x:v>
      </x:c>
      <x:c r="C65" s="16" t="str">
        <x:v>ЛОТОК НЕПЕРФОР 100*100*2000 35111</x:v>
      </x:c>
      <x:c r="D65" s="16" t="str">
        <x:v>Монтажные изделия для кабельной продукции</x:v>
      </x:c>
      <x:c r="E65" s="16" t="str">
        <x:v>ШТ</x:v>
      </x:c>
      <x:c r="F65" s="21" t="n">
        <x:v>6</x:v>
      </x:c>
      <x:c r="G65" s="17" t="n">
        <x:v>1050.0784</x:v>
      </x:c>
      <x:c r="H65" s="17" t="n">
        <x:f>G65*F65</x:f>
        <x:v>6300.4704</x:v>
      </x:c>
      <x:c r="I65" s="22" t="str">
        <x:f>HYPERLINK("https://etp-aktiv.ru/catalog/materialy/ehlektrotekhnicheskie-materialy/2000532717-U121/","Открыть позицию")</x:f>
        <x:v>Открыть позицию</x:v>
      </x:c>
    </x:row>
    <x:row r="66" ht="28" customHeight="1">
      <x:c r="A66" s="16" t="str">
        <x:v>Кемеровская теплосетевая компания</x:v>
      </x:c>
      <x:c r="B66" s="16" t="str">
        <x:v>2000887307-U121</x:v>
      </x:c>
      <x:c r="C66" s="16" t="str">
        <x:v>МУФТА 4ПКТП-1-70/120(Б)</x:v>
      </x:c>
      <x:c r="D66" s="16" t="str">
        <x:v>Монтажные изделия для кабельной продукции</x:v>
      </x:c>
      <x:c r="E66" s="16" t="str">
        <x:v>ШТ</x:v>
      </x:c>
      <x:c r="F66" s="21" t="n">
        <x:v>2</x:v>
      </x:c>
      <x:c r="G66" s="17" t="n">
        <x:v>1949.9991999999997</x:v>
      </x:c>
      <x:c r="H66" s="17" t="n">
        <x:f>G66*F66</x:f>
        <x:v>3899.9983999999995</x:v>
      </x:c>
      <x:c r="I66" s="22" t="str">
        <x:f>HYPERLINK("https://etp-aktiv.ru/catalog/materialy/ehlektrotekhnicheskie-materialy/2000887307-U121/","Открыть позицию")</x:f>
        <x:v>Открыть позицию</x:v>
      </x:c>
    </x:row>
    <x:row r="67" ht="28" customHeight="1">
      <x:c r="A67" s="16" t="str">
        <x:v>Кемеровская теплосетевая компания</x:v>
      </x:c>
      <x:c r="B67" s="16" t="str">
        <x:v>2000532966-U121</x:v>
      </x:c>
      <x:c r="C67" s="16" t="str">
        <x:v>НАКОНЕЧНИК МЕДНЫЙ ЛУЖЕНЫЙ ТМЛ 35-8-9</x:v>
      </x:c>
      <x:c r="D67" s="16" t="str">
        <x:v>Монтажные изделия для кабельной продукции</x:v>
      </x:c>
      <x:c r="E67" s="16" t="str">
        <x:v>ШТ</x:v>
      </x:c>
      <x:c r="F67" s="21" t="n">
        <x:v>16</x:v>
      </x:c>
      <x:c r="G67" s="17" t="n">
        <x:v>30.1706</x:v>
      </x:c>
      <x:c r="H67" s="17" t="n">
        <x:f>G67*F67</x:f>
        <x:v>482.7296</x:v>
      </x:c>
      <x:c r="I67" s="22" t="str">
        <x:f>HYPERLINK("https://etp-aktiv.ru/catalog/materialy/ehlektrotekhnicheskie-materialy/2000532966-U121/","Открыть позицию")</x:f>
        <x:v>Открыть позицию</x:v>
      </x:c>
    </x:row>
    <x:row r="68" ht="28" customHeight="1">
      <x:c r="A68" s="16" t="str">
        <x:v>Кемеровская теплосетевая компания</x:v>
      </x:c>
      <x:c r="B68" s="16" t="str">
        <x:v>2000141248-U121</x:v>
      </x:c>
      <x:c r="C68" s="16" t="str">
        <x:v>НАКОНЕЧНИК ТА 120-12-14</x:v>
      </x:c>
      <x:c r="D68" s="16" t="str">
        <x:v>Монтажные изделия для кабельной продукции</x:v>
      </x:c>
      <x:c r="E68" s="16" t="str">
        <x:v>ШТ</x:v>
      </x:c>
      <x:c r="F68" s="21" t="n">
        <x:v>30</x:v>
      </x:c>
      <x:c r="G68" s="17" t="n">
        <x:v>23.057999999999996</x:v>
      </x:c>
      <x:c r="H68" s="17" t="n">
        <x:f>G68*F68</x:f>
        <x:v>691.7399999999999</x:v>
      </x:c>
      <x:c r="I68" s="22" t="str">
        <x:f>HYPERLINK("https://etp-aktiv.ru/catalog/materialy/ehlektrotekhnicheskie-materialy/2000141248-U121/","Открыть позицию")</x:f>
        <x:v>Открыть позицию</x:v>
      </x:c>
    </x:row>
    <x:row r="69" ht="28" customHeight="1">
      <x:c r="A69" s="16" t="str">
        <x:v>Кемеровская теплосетевая компания</x:v>
      </x:c>
      <x:c r="B69" s="16" t="str">
        <x:v>2000141256-U121</x:v>
      </x:c>
      <x:c r="C69" s="16" t="str">
        <x:v>НАКОНЕЧНИК ТА 95-12-13</x:v>
      </x:c>
      <x:c r="D69" s="16" t="str">
        <x:v>Монтажные изделия для кабельной продукции</x:v>
      </x:c>
      <x:c r="E69" s="16" t="str">
        <x:v>ШТ</x:v>
      </x:c>
      <x:c r="F69" s="21" t="n">
        <x:v>30</x:v>
      </x:c>
      <x:c r="G69" s="17" t="n">
        <x:v>16.7506</x:v>
      </x:c>
      <x:c r="H69" s="17" t="n">
        <x:f>G69*F69</x:f>
        <x:v>502.518</x:v>
      </x:c>
      <x:c r="I69" s="22" t="str">
        <x:f>HYPERLINK("https://etp-aktiv.ru/catalog/materialy/ehlektrotekhnicheskie-materialy/2000141256-U121/","Открыть позицию")</x:f>
        <x:v>Открыть позицию</x:v>
      </x:c>
    </x:row>
    <x:row r="70" ht="28" customHeight="1">
      <x:c r="A70" s="16" t="str">
        <x:v>Кемеровская теплосетевая компания</x:v>
      </x:c>
      <x:c r="B70" s="16" t="str">
        <x:v>2000223056-U121</x:v>
      </x:c>
      <x:c r="C70" s="16" t="str">
        <x:v>ОРГАНАЙЗЕР КАБЕЛЬНЫЙ 19" 1U TWT-ORG1U-5V</x:v>
      </x:c>
      <x:c r="D70" s="16" t="str">
        <x:v>Монтажные изделия для кабельной продукции</x:v>
      </x:c>
      <x:c r="E70" s="16" t="str">
        <x:v>ШТ</x:v>
      </x:c>
      <x:c r="F70" s="21" t="n">
        <x:v>1</x:v>
      </x:c>
      <x:c r="G70" s="17" t="n">
        <x:v>631.35</x:v>
      </x:c>
      <x:c r="H70" s="17" t="n">
        <x:f>G70*F70</x:f>
        <x:v>631.35</x:v>
      </x:c>
      <x:c r="I70" s="22" t="str">
        <x:f>HYPERLINK("https://etp-aktiv.ru/catalog/materialy/ehlektrotekhnicheskie-materialy/2000223056-U121/","Открыть позицию")</x:f>
        <x:v>Открыть позицию</x:v>
      </x:c>
    </x:row>
    <x:row r="71" ht="28" customHeight="1">
      <x:c r="A71" s="16" t="str">
        <x:v>Кемеровская теплосетевая компания</x:v>
      </x:c>
      <x:c r="B71" s="16" t="str">
        <x:v>2000325456-U121</x:v>
      </x:c>
      <x:c r="C71" s="16" t="str">
        <x:v>ПРОФИЛЬ PSM П-ОБР. 2.5*50*3000 BPM2930</x:v>
      </x:c>
      <x:c r="D71" s="16" t="str">
        <x:v>Монтажные изделия для кабельной продукции</x:v>
      </x:c>
      <x:c r="E71" s="16" t="str">
        <x:v>ШТ</x:v>
      </x:c>
      <x:c r="F71" s="21" t="n">
        <x:v>2</x:v>
      </x:c>
      <x:c r="G71" s="17" t="n">
        <x:v>159.46620000000001</x:v>
      </x:c>
      <x:c r="H71" s="17" t="n">
        <x:f>G71*F71</x:f>
        <x:v>318.93240000000003</x:v>
      </x:c>
      <x:c r="I71" s="22" t="str">
        <x:f>HYPERLINK("https://etp-aktiv.ru/catalog/materialy/ehlektrotekhnicheskie-materialy/2000325456-U121/","Открыть позицию")</x:f>
        <x:v>Открыть позицию</x:v>
      </x:c>
    </x:row>
    <x:row r="72" ht="28" customHeight="1">
      <x:c r="A72" s="16" t="str">
        <x:v>Кемеровская теплосетевая компания</x:v>
      </x:c>
      <x:c r="B72" s="16" t="str">
        <x:v>2000484366-U121</x:v>
      </x:c>
      <x:c r="C72" s="16" t="str">
        <x:v>СКРЕПА Д/ЛЕНТ СГ-20</x:v>
      </x:c>
      <x:c r="D72" s="16" t="str">
        <x:v>Монтажные изделия для кабельной продукции</x:v>
      </x:c>
      <x:c r="E72" s="16" t="str">
        <x:v>ШТ</x:v>
      </x:c>
      <x:c r="F72" s="21" t="n">
        <x:v>700</x:v>
      </x:c>
      <x:c r="G72" s="17" t="n">
        <x:v>5.2338</x:v>
      </x:c>
      <x:c r="H72" s="17" t="n">
        <x:f>G72*F72</x:f>
        <x:v>3663.66</x:v>
      </x:c>
      <x:c r="I72" s="22" t="str">
        <x:f>HYPERLINK("https://etp-aktiv.ru/catalog/materialy/ehlektrotekhnicheskie-materialy/2000484366-U121/","Открыть позицию")</x:f>
        <x:v>Открыть позицию</x:v>
      </x:c>
    </x:row>
    <x:row r="73" ht="28" customHeight="1">
      <x:c r="A73" s="16" t="str">
        <x:v>Ново-Кемеровская ТЭЦ</x:v>
      </x:c>
      <x:c r="B73" s="16" t="str">
        <x:v>2000698454-U411</x:v>
      </x:c>
      <x:c r="C73" s="16" t="str">
        <x:v>БОЛТ СО СТОПОР БУРТ М6*20 SF.02.0620</x:v>
      </x:c>
      <x:c r="D73" s="16" t="str">
        <x:v>Монтажные изделия для кабельной продукции</x:v>
      </x:c>
      <x:c r="E73" s="16" t="str">
        <x:v>ШТ</x:v>
      </x:c>
      <x:c r="F73" s="21" t="n">
        <x:v>300</x:v>
      </x:c>
      <x:c r="G73" s="17" t="n">
        <x:v>2.6229999999999998</x:v>
      </x:c>
      <x:c r="H73" s="17" t="n">
        <x:f>G73*F73</x:f>
        <x:v>786.9</x:v>
      </x:c>
      <x:c r="I73" s="22" t="str">
        <x:f>HYPERLINK("https://etp-aktiv.ru/catalog/materialy/ehlektrotekhnicheskie-materialy/2000698454-U411/","Открыть позицию")</x:f>
        <x:v>Открыть позицию</x:v>
      </x:c>
    </x:row>
    <x:row r="74" ht="28" customHeight="1">
      <x:c r="A74" s="16" t="str">
        <x:v>Ново-Кемеровская ТЭЦ</x:v>
      </x:c>
      <x:c r="B74" s="16" t="str">
        <x:v>2000530998-U411</x:v>
      </x:c>
      <x:c r="C74" s="16" t="str">
        <x:v>КАБЕЛЬ ААШВ 3*240 10КВ</x:v>
      </x:c>
      <x:c r="D74" s="16" t="str">
        <x:v>Кабель общепромышленный и провод</x:v>
      </x:c>
      <x:c r="E74" s="16" t="str">
        <x:v>КМ</x:v>
      </x:c>
      <x:c r="F74" s="30" t="n">
        <x:v>0.005</x:v>
      </x:c>
      <x:c r="G74" s="17" t="n">
        <x:v>570216.105</x:v>
      </x:c>
      <x:c r="H74" s="17" t="n">
        <x:f>G74*F74</x:f>
        <x:v>2851.080525</x:v>
      </x:c>
      <x:c r="I74" s="22" t="str">
        <x:f>HYPERLINK("https://etp-aktiv.ru/catalog/materialy/kabelno-provodnikovaya-produkciya/2000530998-U411/","Открыть позицию")</x:f>
        <x:v>Открыть позицию</x:v>
      </x:c>
    </x:row>
    <x:row r="75" ht="28" customHeight="1">
      <x:c r="A75" s="16" t="str">
        <x:v>Ново-Кемеровская ТЭЦ</x:v>
      </x:c>
      <x:c r="B75" s="16" t="str">
        <x:v>2000531073-U411</x:v>
      </x:c>
      <x:c r="C75" s="16" t="str">
        <x:v>КАБЕЛЬ АВВГНГ 2*2,5 0,66КВ</x:v>
      </x:c>
      <x:c r="D75" s="16" t="str">
        <x:v>Кабель общепромышленный и провод</x:v>
      </x:c>
      <x:c r="E75" s="16" t="str">
        <x:v>КМ</x:v>
      </x:c>
      <x:c r="F75" s="30" t="n">
        <x:v>0.15</x:v>
      </x:c>
      <x:c r="G75" s="17" t="n">
        <x:v>3399.225</x:v>
      </x:c>
      <x:c r="H75" s="17" t="n">
        <x:f>G75*F75</x:f>
        <x:v>509.88374999999996</x:v>
      </x:c>
      <x:c r="I75" s="22" t="str">
        <x:f>HYPERLINK("https://etp-aktiv.ru/catalog/materialy/kabelno-provodnikovaya-produkciya/2000531073-U411/","Открыть позицию")</x:f>
        <x:v>Открыть позицию</x:v>
      </x:c>
    </x:row>
    <x:row r="76" ht="28" customHeight="1">
      <x:c r="A76" s="16" t="str">
        <x:v>Ново-Кемеровская ТЭЦ</x:v>
      </x:c>
      <x:c r="B76" s="16" t="str">
        <x:v>2000259013-U411</x:v>
      </x:c>
      <x:c r="C76" s="16" t="str">
        <x:v>КАБЕЛЬ ВВГЗНГ 4*2,5 0,66КВ</x:v>
      </x:c>
      <x:c r="D76" s="16" t="str">
        <x:v>Кабель общепромышленный и провод</x:v>
      </x:c>
      <x:c r="E76" s="16" t="str">
        <x:v>КМ</x:v>
      </x:c>
      <x:c r="F76" s="30" t="n">
        <x:v>0.1</x:v>
      </x:c>
      <x:c r="G76" s="17" t="n">
        <x:v>22801.8</x:v>
      </x:c>
      <x:c r="H76" s="17" t="n">
        <x:f>G76*F76</x:f>
        <x:v>2280.18</x:v>
      </x:c>
      <x:c r="I76" s="22" t="str">
        <x:f>HYPERLINK("https://etp-aktiv.ru/catalog/materialy/kabelno-provodnikovaya-produkciya/2000259013-U411/","Открыть позицию")</x:f>
        <x:v>Открыть позицию</x:v>
      </x:c>
    </x:row>
    <x:row r="77" ht="28" customHeight="1">
      <x:c r="A77" s="16" t="str">
        <x:v>Ново-Кемеровская ТЭЦ</x:v>
      </x:c>
      <x:c r="B77" s="16" t="str">
        <x:v>2000126672-U411</x:v>
      </x:c>
      <x:c r="C77" s="16" t="str">
        <x:v>КАБЕЛЬ ВВГНГ 4*2,5 0,66КВ</x:v>
      </x:c>
      <x:c r="D77" s="16" t="str">
        <x:v>Кабель общепромышленный и провод</x:v>
      </x:c>
      <x:c r="E77" s="16" t="str">
        <x:v>КМ</x:v>
      </x:c>
      <x:c r="F77" s="30" t="n">
        <x:v>0.3</x:v>
      </x:c>
      <x:c r="G77" s="17" t="n">
        <x:v>67211.6422</x:v>
      </x:c>
      <x:c r="H77" s="17" t="n">
        <x:f>G77*F77</x:f>
        <x:v>20163.49266</x:v>
      </x:c>
      <x:c r="I77" s="22" t="str">
        <x:f>HYPERLINK("https://etp-aktiv.ru/catalog/materialy/kabelno-provodnikovaya-produkciya/2000126672-U411/","Открыть позицию")</x:f>
        <x:v>Открыть позицию</x:v>
      </x:c>
    </x:row>
    <x:row r="78" ht="28" customHeight="1">
      <x:c r="A78" s="16" t="str">
        <x:v>Ново-Кемеровская ТЭЦ</x:v>
      </x:c>
      <x:c r="B78" s="16" t="str">
        <x:v>2000174676-U411</x:v>
      </x:c>
      <x:c r="C78" s="16" t="str">
        <x:v>КАБЕЛЬ ВВГНГ 4*25 1КВ</x:v>
      </x:c>
      <x:c r="D78" s="16" t="str">
        <x:v>Кабель общепромышленный и провод</x:v>
      </x:c>
      <x:c r="E78" s="16" t="str">
        <x:v>КМ</x:v>
      </x:c>
      <x:c r="F78" s="30" t="n">
        <x:v>0.109</x:v>
      </x:c>
      <x:c r="G78" s="17" t="n">
        <x:v>670655.0083999999</x:v>
      </x:c>
      <x:c r="H78" s="17" t="n">
        <x:f>G78*F78</x:f>
        <x:v>73101.39591559999</x:v>
      </x:c>
      <x:c r="I78" s="22" t="str">
        <x:f>HYPERLINK("https://etp-aktiv.ru/catalog/materialy/kabelno-provodnikovaya-produkciya/2000174676-U411/","Открыть позицию")</x:f>
        <x:v>Открыть позицию</x:v>
      </x:c>
    </x:row>
    <x:row r="79" ht="28" customHeight="1">
      <x:c r="A79" s="16" t="str">
        <x:v>Ново-Кемеровская ТЭЦ</x:v>
      </x:c>
      <x:c r="B79" s="16" t="str">
        <x:v>2000455952-U411</x:v>
      </x:c>
      <x:c r="C79" s="16" t="str">
        <x:v>КАБЕЛЬ ВВГНГ(А)-LS 5*2,5 0,66КВ</x:v>
      </x:c>
      <x:c r="D79" s="16" t="str">
        <x:v>Кабель общепромышленный и провод</x:v>
      </x:c>
      <x:c r="E79" s="16" t="str">
        <x:v>КМ</x:v>
      </x:c>
      <x:c r="F79" s="30" t="n">
        <x:v>0.047</x:v>
      </x:c>
      <x:c r="G79" s="17" t="n">
        <x:v>98124.59999999999</x:v>
      </x:c>
      <x:c r="H79" s="17" t="n">
        <x:f>G79*F79</x:f>
        <x:v>4611.856199999999</x:v>
      </x:c>
      <x:c r="I79" s="22" t="str">
        <x:f>HYPERLINK("https://etp-aktiv.ru/catalog/materialy/kabelno-provodnikovaya-produkciya/2000455952-U411/","Открыть позицию")</x:f>
        <x:v>Открыть позицию</x:v>
      </x:c>
    </x:row>
    <x:row r="80" ht="28" customHeight="1">
      <x:c r="A80" s="16" t="str">
        <x:v>Ново-Кемеровская ТЭЦ</x:v>
      </x:c>
      <x:c r="B80" s="16" t="str">
        <x:v>2000016123-U411</x:v>
      </x:c>
      <x:c r="C80" s="16" t="str">
        <x:v>КАБЕЛЬ ВВГНГ-LS 3*1,5 0,66КВ</x:v>
      </x:c>
      <x:c r="D80" s="16" t="str">
        <x:v>Кабель общепромышленный и провод</x:v>
      </x:c>
      <x:c r="E80" s="16" t="str">
        <x:v>КМ</x:v>
      </x:c>
      <x:c r="F80" s="30" t="n">
        <x:v>0.5</x:v>
      </x:c>
      <x:c r="G80" s="17" t="n">
        <x:v>39650</x:v>
      </x:c>
      <x:c r="H80" s="17" t="n">
        <x:f>G80*F80</x:f>
        <x:v>19825</x:v>
      </x:c>
      <x:c r="I80" s="22" t="str">
        <x:f>HYPERLINK("https://etp-aktiv.ru/catalog/materialy/kabelno-provodnikovaya-produkciya/2000016123-U411/","Открыть позицию")</x:f>
        <x:v>Открыть позицию</x:v>
      </x:c>
    </x:row>
    <x:row r="81" ht="28" customHeight="1">
      <x:c r="A81" s="16" t="str">
        <x:v>Ново-Кемеровская ТЭЦ</x:v>
      </x:c>
      <x:c r="B81" s="16" t="str">
        <x:v>2000531211-U411</x:v>
      </x:c>
      <x:c r="C81" s="16" t="str">
        <x:v>КАБЕЛЬ ВВГНГ-LS 3*2,5 1КВ</x:v>
      </x:c>
      <x:c r="D81" s="16" t="str">
        <x:v>Кабель общепромышленный и провод</x:v>
      </x:c>
      <x:c r="E81" s="16" t="str">
        <x:v>М</x:v>
      </x:c>
      <x:c r="F81" s="21" t="n">
        <x:v>50</x:v>
      </x:c>
      <x:c r="G81" s="17" t="n">
        <x:v>46.8358</x:v>
      </x:c>
      <x:c r="H81" s="17" t="n">
        <x:f>G81*F81</x:f>
        <x:v>2341.79</x:v>
      </x:c>
      <x:c r="I81" s="22" t="str">
        <x:f>HYPERLINK("https://etp-aktiv.ru/catalog/materialy/kabelno-provodnikovaya-produkciya/2000531211-U411/","Открыть позицию")</x:f>
        <x:v>Открыть позицию</x:v>
      </x:c>
    </x:row>
    <x:row r="82" ht="28" customHeight="1">
      <x:c r="A82" s="16" t="str">
        <x:v>Ново-Кемеровская ТЭЦ</x:v>
      </x:c>
      <x:c r="B82" s="16" t="str">
        <x:v>2000531234-U411</x:v>
      </x:c>
      <x:c r="C82" s="16" t="str">
        <x:v>КАБЕЛЬ ВВГНГ-LS 5*25 1КВ</x:v>
      </x:c>
      <x:c r="D82" s="16" t="str">
        <x:v>Кабель общепромышленный и провод</x:v>
      </x:c>
      <x:c r="E82" s="16" t="str">
        <x:v>КМ</x:v>
      </x:c>
      <x:c r="F82" s="30" t="n">
        <x:v>0.004</x:v>
      </x:c>
      <x:c r="G82" s="17" t="n">
        <x:v>871022.8186</x:v>
      </x:c>
      <x:c r="H82" s="17" t="n">
        <x:f>G82*F82</x:f>
        <x:v>3484.0912744</x:v>
      </x:c>
      <x:c r="I82" s="22" t="str">
        <x:f>HYPERLINK("https://etp-aktiv.ru/catalog/materialy/kabelno-provodnikovaya-produkciya/2000531234-U411/","Открыть позицию")</x:f>
        <x:v>Открыть позицию</x:v>
      </x:c>
    </x:row>
    <x:row r="83" ht="28" customHeight="1">
      <x:c r="A83" s="16" t="str">
        <x:v>Ново-Кемеровская ТЭЦ</x:v>
      </x:c>
      <x:c r="B83" s="16" t="str">
        <x:v>2000017498-U411</x:v>
      </x:c>
      <x:c r="C83" s="16" t="str">
        <x:v>КАБЕЛЬ КГ-ХЛ 1*35 0,66КВ</x:v>
      </x:c>
      <x:c r="D83" s="16" t="str">
        <x:v>Кабель общепромышленный и провод</x:v>
      </x:c>
      <x:c r="E83" s="16" t="str">
        <x:v>КМ</x:v>
      </x:c>
      <x:c r="F83" s="30" t="n">
        <x:v>0.06</x:v>
      </x:c>
      <x:c r="G83" s="17" t="n">
        <x:v>211433.625</x:v>
      </x:c>
      <x:c r="H83" s="17" t="n">
        <x:f>G83*F83</x:f>
        <x:v>12686.0175</x:v>
      </x:c>
      <x:c r="I83" s="22" t="str">
        <x:f>HYPERLINK("https://etp-aktiv.ru/catalog/materialy/kabelno-provodnikovaya-produkciya/2000017498-U411/","Открыть позицию")</x:f>
        <x:v>Открыть позицию</x:v>
      </x:c>
    </x:row>
    <x:row r="84" ht="28" customHeight="1">
      <x:c r="A84" s="16" t="str">
        <x:v>Ново-Кемеровская ТЭЦ</x:v>
      </x:c>
      <x:c r="B84" s="16" t="str">
        <x:v>2001045442-U411</x:v>
      </x:c>
      <x:c r="C84" s="16" t="str">
        <x:v>КАБЕЛЬ КИПЭВНГ(А)-LS 8*2*0,6 0,3КВ</x:v>
      </x:c>
      <x:c r="D84" s="16" t="str">
        <x:v>Запасные части и принадлежности для приборов КИПиА</x:v>
      </x:c>
      <x:c r="E84" s="16" t="str">
        <x:v>КМ</x:v>
      </x:c>
      <x:c r="F84" s="30" t="n">
        <x:v>0.003</x:v>
      </x:c>
      <x:c r="G84" s="17" t="n">
        <x:v>460439.4436</x:v>
      </x:c>
      <x:c r="H84" s="17" t="n">
        <x:f>G84*F84</x:f>
        <x:v>1381.3183308</x:v>
      </x:c>
      <x:c r="I84" s="22" t="str">
        <x:f>HYPERLINK("https://etp-aktiv.ru/catalog/materialy/zapasnye-chasti-i-prinadlezhnosti-dlya-priborov-kipia/2001045442-U411/","Открыть позицию")</x:f>
        <x:v>Открыть позицию</x:v>
      </x:c>
    </x:row>
    <x:row r="85" ht="28" customHeight="1">
      <x:c r="A85" s="16" t="str">
        <x:v>Ново-Кемеровская ТЭЦ</x:v>
      </x:c>
      <x:c r="B85" s="16" t="str">
        <x:v>2000358263-U411</x:v>
      </x:c>
      <x:c r="C85" s="16" t="str">
        <x:v>КАБЕЛЬ КИПЭВНГ/А-LS 1*2*0,6 0,66КВ</x:v>
      </x:c>
      <x:c r="D85" s="16" t="str">
        <x:v>Запасные части и принадлежности для приборов КИПиА</x:v>
      </x:c>
      <x:c r="E85" s="16" t="str">
        <x:v>КМ</x:v>
      </x:c>
      <x:c r="F85" s="30" t="n">
        <x:v>0.003</x:v>
      </x:c>
      <x:c r="G85" s="17" t="n">
        <x:v>128980.6936</x:v>
      </x:c>
      <x:c r="H85" s="17" t="n">
        <x:f>G85*F85</x:f>
        <x:v>386.9420808</x:v>
      </x:c>
      <x:c r="I85" s="22" t="str">
        <x:f>HYPERLINK("https://etp-aktiv.ru/catalog/materialy/zapasnye-chasti-i-prinadlezhnosti-dlya-priborov-kipia/2000358263-U411/","Открыть позицию")</x:f>
        <x:v>Открыть позицию</x:v>
      </x:c>
    </x:row>
    <x:row r="86" ht="28" customHeight="1">
      <x:c r="A86" s="16" t="str">
        <x:v>Ново-Кемеровская ТЭЦ</x:v>
      </x:c>
      <x:c r="B86" s="16" t="str">
        <x:v>2000467801-U411</x:v>
      </x:c>
      <x:c r="C86" s="16" t="str">
        <x:v>КАБЕЛЬ КУПР 7*1 0,25КВ</x:v>
      </x:c>
      <x:c r="D86" s="16" t="str">
        <x:v>Кабель общепромышленный и провод</x:v>
      </x:c>
      <x:c r="E86" s="16" t="str">
        <x:v>КМ</x:v>
      </x:c>
      <x:c r="F86" s="30" t="n">
        <x:v>0.165</x:v>
      </x:c>
      <x:c r="G86" s="17" t="n">
        <x:v>150975</x:v>
      </x:c>
      <x:c r="H86" s="17" t="n">
        <x:f>G86*F86</x:f>
        <x:v>24910.875</x:v>
      </x:c>
      <x:c r="I86" s="22" t="str">
        <x:f>HYPERLINK("https://etp-aktiv.ru/catalog/materialy/kabelno-provodnikovaya-produkciya/2000467801-U411/","Открыть позицию")</x:f>
        <x:v>Открыть позицию</x:v>
      </x:c>
    </x:row>
    <x:row r="87" ht="28" customHeight="1">
      <x:c r="A87" s="16" t="str">
        <x:v>Ново-Кемеровская ТЭЦ</x:v>
      </x:c>
      <x:c r="B87" s="16" t="str">
        <x:v>2000532561-U411</x:v>
      </x:c>
      <x:c r="C87" s="16" t="str">
        <x:v>КАБЕЛЬ-КАНАЛ 40*40 БЕЛЫЙ KK-40-40</x:v>
      </x:c>
      <x:c r="D87" s="16" t="str">
        <x:v>Монтажные изделия для кабельной продукции</x:v>
      </x:c>
      <x:c r="E87" s="16" t="str">
        <x:v>М</x:v>
      </x:c>
      <x:c r="F87" s="21" t="n">
        <x:v>1</x:v>
      </x:c>
      <x:c r="G87" s="17" t="n">
        <x:v>62.2688</x:v>
      </x:c>
      <x:c r="H87" s="17" t="n">
        <x:f>G87*F87</x:f>
        <x:v>62.2688</x:v>
      </x:c>
      <x:c r="I87" s="22" t="str">
        <x:f>HYPERLINK("https://etp-aktiv.ru/catalog/materialy/ehlektrotekhnicheskie-materialy/2000532561-U411/","Открыть позицию")</x:f>
        <x:v>Открыть позицию</x:v>
      </x:c>
    </x:row>
    <x:row r="88" ht="28" customHeight="1">
      <x:c r="A88" s="16" t="str">
        <x:v>Ново-Кемеровская ТЭЦ</x:v>
      </x:c>
      <x:c r="B88" s="16" t="str">
        <x:v>2000121922-U411</x:v>
      </x:c>
      <x:c r="C88" s="16" t="str">
        <x:v>МЕТАЛЛОРУКАВ D20ММ РЗ-Ц-Х</x:v>
      </x:c>
      <x:c r="D88" s="16" t="str">
        <x:v>Монтажные изделия для кабельной продукции</x:v>
      </x:c>
      <x:c r="E88" s="16" t="str">
        <x:v>М</x:v>
      </x:c>
      <x:c r="F88" s="21" t="n">
        <x:v>2</x:v>
      </x:c>
      <x:c r="G88" s="17" t="n">
        <x:v>73.0048</x:v>
      </x:c>
      <x:c r="H88" s="17" t="n">
        <x:f>G88*F88</x:f>
        <x:v>146.0096</x:v>
      </x:c>
      <x:c r="I88" s="22" t="str">
        <x:f>HYPERLINK("https://etp-aktiv.ru/catalog/materialy/ehlektrotekhnicheskie-materialy/2000121922-U411/","Открыть позицию")</x:f>
        <x:v>Открыть позицию</x:v>
      </x:c>
    </x:row>
    <x:row r="89" ht="28" customHeight="1">
      <x:c r="A89" s="16" t="str">
        <x:v>Ново-Кемеровская ТЭЦ</x:v>
      </x:c>
      <x:c r="B89" s="16" t="str">
        <x:v>2000998541-U411</x:v>
      </x:c>
      <x:c r="C89" s="16" t="str">
        <x:v>МЕТАЛЛОРУКАВ В ПВХ ИЗОЛ РЗ-ЦП НГ-LS 50ММ</x:v>
      </x:c>
      <x:c r="D89" s="16" t="str">
        <x:v>Монтажные изделия для кабельной продукции</x:v>
      </x:c>
      <x:c r="E89" s="16" t="str">
        <x:v>М</x:v>
      </x:c>
      <x:c r="F89" s="21" t="n">
        <x:v>25</x:v>
      </x:c>
      <x:c r="G89" s="17" t="n">
        <x:v>64.11099999999999</x:v>
      </x:c>
      <x:c r="H89" s="17" t="n">
        <x:f>G89*F89</x:f>
        <x:v>1602.7749999999996</x:v>
      </x:c>
      <x:c r="I89" s="22" t="str">
        <x:f>HYPERLINK("https://etp-aktiv.ru/catalog/materialy/ehlektrotekhnicheskie-materialy/2000998541-U411/","Открыть позицию")</x:f>
        <x:v>Открыть позицию</x:v>
      </x:c>
    </x:row>
    <x:row r="90" ht="28" customHeight="1">
      <x:c r="A90" s="16" t="str">
        <x:v>Ново-Кемеровская ТЭЦ</x:v>
      </x:c>
      <x:c r="B90" s="16" t="str">
        <x:v>2000304292-U411</x:v>
      </x:c>
      <x:c r="C90" s="16" t="str">
        <x:v>МЕТАЛЛОРУКАВ РЗ-ЦХ 60</x:v>
      </x:c>
      <x:c r="D90" s="16" t="str">
        <x:v>Монтажные изделия для кабельной продукции</x:v>
      </x:c>
      <x:c r="E90" s="16" t="str">
        <x:v>М</x:v>
      </x:c>
      <x:c r="F90" s="21" t="n">
        <x:v>3</x:v>
      </x:c>
      <x:c r="G90" s="17" t="n">
        <x:v>245.525</x:v>
      </x:c>
      <x:c r="H90" s="17" t="n">
        <x:f>G90*F90</x:f>
        <x:v>736.575</x:v>
      </x:c>
      <x:c r="I90" s="22" t="str">
        <x:f>HYPERLINK("https://etp-aktiv.ru/catalog/materialy/ehlektrotekhnicheskie-materialy/2000304292-U411/","Открыть позицию")</x:f>
        <x:v>Открыть позицию</x:v>
      </x:c>
    </x:row>
    <x:row r="91" ht="28" customHeight="1">
      <x:c r="A91" s="16" t="str">
        <x:v>Ново-Кемеровская ТЭЦ</x:v>
      </x:c>
      <x:c r="B91" s="16" t="str">
        <x:v>2000912352-U411</x:v>
      </x:c>
      <x:c r="C91" s="16" t="str">
        <x:v>МЕТАЛЛОРУКАВ С ПРОТ 15 МРПИНГ NORD 82473</x:v>
      </x:c>
      <x:c r="D91" s="16" t="str">
        <x:v>Монтажные изделия для кабельной продукции</x:v>
      </x:c>
      <x:c r="E91" s="16" t="str">
        <x:v>М</x:v>
      </x:c>
      <x:c r="F91" s="21" t="n">
        <x:v>30</x:v>
      </x:c>
      <x:c r="G91" s="17" t="n">
        <x:v>41.48</x:v>
      </x:c>
      <x:c r="H91" s="17" t="n">
        <x:f>G91*F91</x:f>
        <x:v>1244.3999999999999</x:v>
      </x:c>
      <x:c r="I91" s="22" t="str">
        <x:f>HYPERLINK("https://etp-aktiv.ru/catalog/materialy/ehlektrotekhnicheskie-materialy/2000912352-U411/","Открыть позицию")</x:f>
        <x:v>Открыть позицию</x:v>
      </x:c>
    </x:row>
    <x:row r="92" ht="28" customHeight="1">
      <x:c r="A92" s="16" t="str">
        <x:v>Ново-Кемеровская ТЭЦ</x:v>
      </x:c>
      <x:c r="B92" s="16" t="str">
        <x:v>2000031873-U411</x:v>
      </x:c>
      <x:c r="C92" s="16" t="str">
        <x:v>НАКОНЕЧНИК МЕДНЫЙ Т 35-8</x:v>
      </x:c>
      <x:c r="D92" s="16" t="str">
        <x:v>Монтажные изделия для кабельной продукции</x:v>
      </x:c>
      <x:c r="E92" s="16" t="str">
        <x:v>ШТ</x:v>
      </x:c>
      <x:c r="F92" s="21" t="n">
        <x:v>50</x:v>
      </x:c>
      <x:c r="G92" s="17" t="n">
        <x:v>26.6448</x:v>
      </x:c>
      <x:c r="H92" s="17" t="n">
        <x:f>G92*F92</x:f>
        <x:v>1332.24</x:v>
      </x:c>
      <x:c r="I92" s="22" t="str">
        <x:f>HYPERLINK("https://etp-aktiv.ru/catalog/materialy/ehlektrotekhnicheskie-materialy/2000031873-U411/","Открыть позицию")</x:f>
        <x:v>Открыть позицию</x:v>
      </x:c>
    </x:row>
    <x:row r="93" ht="28" customHeight="1">
      <x:c r="A93" s="16" t="str">
        <x:v>Ново-Кемеровская ТЭЦ</x:v>
      </x:c>
      <x:c r="B93" s="16" t="str">
        <x:v>2000214478-U411</x:v>
      </x:c>
      <x:c r="C93" s="16" t="str">
        <x:v>НАКОНЕЧНИК НКИ 1,5-4 100ШТ</x:v>
      </x:c>
      <x:c r="D93" s="16" t="str">
        <x:v>Монтажные изделия для кабельной продукции</x:v>
      </x:c>
      <x:c r="E93" s="16" t="str">
        <x:v>УПК</x:v>
      </x:c>
      <x:c r="F93" s="21" t="n">
        <x:v>49</x:v>
      </x:c>
      <x:c r="G93" s="17" t="n">
        <x:v>101.565</x:v>
      </x:c>
      <x:c r="H93" s="17" t="n">
        <x:f>G93*F93</x:f>
        <x:v>4976.6849999999995</x:v>
      </x:c>
      <x:c r="I93" s="22" t="str">
        <x:f>HYPERLINK("https://etp-aktiv.ru/catalog/materialy/ehlektrotekhnicheskie-materialy/2000214478-U411/","Открыть позицию")</x:f>
        <x:v>Открыть позицию</x:v>
      </x:c>
    </x:row>
    <x:row r="94" ht="28" customHeight="1">
      <x:c r="A94" s="16" t="str">
        <x:v>Ново-Кемеровская ТЭЦ</x:v>
      </x:c>
      <x:c r="B94" s="16" t="str">
        <x:v>2000214481-U411</x:v>
      </x:c>
      <x:c r="C94" s="16" t="str">
        <x:v>НАКОНЕЧНИК НКИ 2,5-4 100ШТ</x:v>
      </x:c>
      <x:c r="D94" s="16" t="str">
        <x:v>Монтажные изделия для кабельной продукции</x:v>
      </x:c>
      <x:c r="E94" s="16" t="str">
        <x:v>УПК</x:v>
      </x:c>
      <x:c r="F94" s="21" t="n">
        <x:v>50</x:v>
      </x:c>
      <x:c r="G94" s="17" t="n">
        <x:v>92.6468</x:v>
      </x:c>
      <x:c r="H94" s="17" t="n">
        <x:f>G94*F94</x:f>
        <x:v>4632.34</x:v>
      </x:c>
      <x:c r="I94" s="22" t="str">
        <x:f>HYPERLINK("https://etp-aktiv.ru/catalog/materialy/ehlektrotekhnicheskie-materialy/2000214481-U411/","Открыть позицию")</x:f>
        <x:v>Открыть позицию</x:v>
      </x:c>
    </x:row>
    <x:row r="95" ht="28" customHeight="1">
      <x:c r="A95" s="16" t="str">
        <x:v>Ново-Кемеровская ТЭЦ</x:v>
      </x:c>
      <x:c r="B95" s="16" t="str">
        <x:v>2000031920-U411</x:v>
      </x:c>
      <x:c r="C95" s="16" t="str">
        <x:v>НАКОНЕЧНИК Т 25-8-7</x:v>
      </x:c>
      <x:c r="D95" s="16" t="str">
        <x:v>Монтажные изделия для кабельной продукции</x:v>
      </x:c>
      <x:c r="E95" s="16" t="str">
        <x:v>ШТ</x:v>
      </x:c>
      <x:c r="F95" s="21" t="n">
        <x:v>50</x:v>
      </x:c>
      <x:c r="G95" s="17" t="n">
        <x:v>29.9998</x:v>
      </x:c>
      <x:c r="H95" s="17" t="n">
        <x:f>G95*F95</x:f>
        <x:v>1499.99</x:v>
      </x:c>
      <x:c r="I95" s="22" t="str">
        <x:f>HYPERLINK("https://etp-aktiv.ru/catalog/materialy/ehlektrotekhnicheskie-materialy/2000031920-U411/","Открыть позицию")</x:f>
        <x:v>Открыть позицию</x:v>
      </x:c>
    </x:row>
    <x:row r="96" ht="28" customHeight="1">
      <x:c r="A96" s="16" t="str">
        <x:v>Ново-Кемеровская ТЭЦ</x:v>
      </x:c>
      <x:c r="B96" s="16" t="str">
        <x:v>2000522771-U411</x:v>
      </x:c>
      <x:c r="C96" s="16" t="str">
        <x:v>ПРОВОД НВ-4 0,5 ЧЕРНЫЙ</x:v>
      </x:c>
      <x:c r="D96" s="16" t="str">
        <x:v>Кабель общепромышленный и провод</x:v>
      </x:c>
      <x:c r="E96" s="16" t="str">
        <x:v>М</x:v>
      </x:c>
      <x:c r="F96" s="21" t="n">
        <x:v>500</x:v>
      </x:c>
      <x:c r="G96" s="17" t="n">
        <x:v>8.235</x:v>
      </x:c>
      <x:c r="H96" s="17" t="n">
        <x:f>G96*F96</x:f>
        <x:v>4117.5</x:v>
      </x:c>
      <x:c r="I96" s="22" t="str">
        <x:f>HYPERLINK("https://etp-aktiv.ru/catalog/materialy/kabelno-provodnikovaya-produkciya/2000522771-U411/","Открыть позицию")</x:f>
        <x:v>Открыть позицию</x:v>
      </x:c>
    </x:row>
    <x:row r="97" ht="28" customHeight="1">
      <x:c r="A97" s="16" t="str">
        <x:v>Ново-Кемеровская ТЭЦ</x:v>
      </x:c>
      <x:c r="B97" s="16" t="str">
        <x:v>2000786736-U411</x:v>
      </x:c>
      <x:c r="C97" s="16" t="str">
        <x:v>ПРОВОД НВ-4 КРАСНЫЙ 1*0,35 ГОСТ17515-72</x:v>
      </x:c>
      <x:c r="D97" s="16" t="str">
        <x:v>Кабель общепромышленный и провод</x:v>
      </x:c>
      <x:c r="E97" s="16" t="str">
        <x:v>М</x:v>
      </x:c>
      <x:c r="F97" s="21" t="n">
        <x:v>500</x:v>
      </x:c>
      <x:c r="G97" s="17" t="n">
        <x:v>6.405</x:v>
      </x:c>
      <x:c r="H97" s="17" t="n">
        <x:f>G97*F97</x:f>
        <x:v>3202.5</x:v>
      </x:c>
      <x:c r="I97" s="22" t="str">
        <x:f>HYPERLINK("https://etp-aktiv.ru/catalog/materialy/kabelno-provodnikovaya-produkciya/2000786736-U411/","Открыть позицию")</x:f>
        <x:v>Открыть позицию</x:v>
      </x:c>
    </x:row>
    <x:row r="98" ht="28" customHeight="1">
      <x:c r="A98" s="16" t="str">
        <x:v>Ново-Кемеровская ТЭЦ</x:v>
      </x:c>
      <x:c r="B98" s="16" t="str">
        <x:v>2000531606-U411</x:v>
      </x:c>
      <x:c r="C98" s="16" t="str">
        <x:v>ПРОВОД ПРКС 2*2,5</x:v>
      </x:c>
      <x:c r="D98" s="16" t="str">
        <x:v>Кабель общепромышленный и провод</x:v>
      </x:c>
      <x:c r="E98" s="16" t="str">
        <x:v>КМ</x:v>
      </x:c>
      <x:c r="F98" s="30" t="n">
        <x:v>0.1</x:v>
      </x:c>
      <x:c r="G98" s="17" t="n">
        <x:v>59475</x:v>
      </x:c>
      <x:c r="H98" s="17" t="n">
        <x:f>G98*F98</x:f>
        <x:v>5947.5</x:v>
      </x:c>
      <x:c r="I98" s="22" t="str">
        <x:f>HYPERLINK("https://etp-aktiv.ru/catalog/materialy/kabelno-provodnikovaya-produkciya/2000531606-U411/","Открыть позицию")</x:f>
        <x:v>Открыть позицию</x:v>
      </x:c>
    </x:row>
    <x:row r="99" ht="28" customHeight="1">
      <x:c r="A99" s="16" t="str">
        <x:v>Ново-Кемеровская ТЭЦ</x:v>
      </x:c>
      <x:c r="B99" s="16" t="str">
        <x:v>2000842792-U411</x:v>
      </x:c>
      <x:c r="C99" s="16" t="str">
        <x:v>ПРОВОД ПТНГЭ-ХК 2*1,5</x:v>
      </x:c>
      <x:c r="D99" s="16" t="str">
        <x:v>Запасные части и принадлежности для приборов КИПиА</x:v>
      </x:c>
      <x:c r="E99" s="16" t="str">
        <x:v>М</x:v>
      </x:c>
      <x:c r="F99" s="21" t="n">
        <x:v>20</x:v>
      </x:c>
      <x:c r="G99" s="17" t="n">
        <x:v>89.4382</x:v>
      </x:c>
      <x:c r="H99" s="17" t="n">
        <x:f>G99*F99</x:f>
        <x:v>1788.764</x:v>
      </x:c>
      <x:c r="I99" s="22" t="str">
        <x:f>HYPERLINK("https://etp-aktiv.ru/catalog/materialy/zapasnye-chasti-i-prinadlezhnosti-dlya-priborov-kipia/2000842792-U411/","Открыть позицию")</x:f>
        <x:v>Открыть позицию</x:v>
      </x:c>
    </x:row>
    <x:row r="100" ht="28" customHeight="1">
      <x:c r="A100" s="16" t="str">
        <x:v>Ново-Кемеровская ТЭЦ</x:v>
      </x:c>
      <x:c r="B100" s="16" t="str">
        <x:v>2000531684-U411</x:v>
      </x:c>
      <x:c r="C100" s="16" t="str">
        <x:v>ПРОВОД ПТПЭ-М 1*0,75 + 1*1,5</x:v>
      </x:c>
      <x:c r="D100" s="16" t="str">
        <x:v>Запасные части и принадлежности для приборов КИПиА</x:v>
      </x:c>
      <x:c r="E100" s="16" t="str">
        <x:v>КМ</x:v>
      </x:c>
      <x:c r="F100" s="30" t="n">
        <x:v>0.02</x:v>
      </x:c>
      <x:c r="G100" s="17" t="n">
        <x:v>147498</x:v>
      </x:c>
      <x:c r="H100" s="17" t="n">
        <x:f>G100*F100</x:f>
        <x:v>2949.96</x:v>
      </x:c>
      <x:c r="I100" s="22" t="str">
        <x:f>HYPERLINK("https://etp-aktiv.ru/catalog/materialy/zapasnye-chasti-i-prinadlezhnosti-dlya-priborov-kipia/2000531684-U411/","Открыть позицию")</x:f>
        <x:v>Открыть позицию</x:v>
      </x:c>
    </x:row>
    <x:row r="101" ht="28" customHeight="1">
      <x:c r="A101" s="16" t="str">
        <x:v>Ново-Кемеровская ТЭЦ</x:v>
      </x:c>
      <x:c r="B101" s="16" t="str">
        <x:v>2000285984-U411</x:v>
      </x:c>
      <x:c r="C101" s="16" t="str">
        <x:v>ПРОВОД ПУВ 1 1,5</x:v>
      </x:c>
      <x:c r="D101" s="16" t="str">
        <x:v>Кабельно-проводниковая продукция</x:v>
      </x:c>
      <x:c r="E101" s="16" t="str">
        <x:v>КМ</x:v>
      </x:c>
      <x:c r="F101" s="30" t="n">
        <x:v>0.32</x:v>
      </x:c>
      <x:c r="G101" s="17" t="n">
        <x:v>5124</x:v>
      </x:c>
      <x:c r="H101" s="17" t="n">
        <x:f>G101*F101</x:f>
        <x:v>1639.68</x:v>
      </x:c>
      <x:c r="I101" s="22" t="str">
        <x:f>HYPERLINK("https://etp-aktiv.ru/catalog/materialy/kabelno-provodnikovaya-produkciya/2000285984-U411/","Открыть позицию")</x:f>
        <x:v>Открыть позицию</x:v>
      </x:c>
    </x:row>
    <x:row r="102" ht="28" customHeight="1">
      <x:c r="A102" s="16" t="str">
        <x:v>Ново-Кемеровская ТЭЦ</x:v>
      </x:c>
      <x:c r="B102" s="16" t="str">
        <x:v>2000224715-U411</x:v>
      </x:c>
      <x:c r="C102" s="16" t="str">
        <x:v>ПРОВОД ПУВ 2,5</x:v>
      </x:c>
      <x:c r="D102" s="16" t="str">
        <x:v>Кабель общепромышленный и провод</x:v>
      </x:c>
      <x:c r="E102" s="16" t="str">
        <x:v>КМ</x:v>
      </x:c>
      <x:c r="F102" s="30" t="n">
        <x:v>0.1</x:v>
      </x:c>
      <x:c r="G102" s="17" t="n">
        <x:v>11199.6</x:v>
      </x:c>
      <x:c r="H102" s="17" t="n">
        <x:f>G102*F102</x:f>
        <x:v>1119.96</x:v>
      </x:c>
      <x:c r="I102" s="22" t="str">
        <x:f>HYPERLINK("https://etp-aktiv.ru/catalog/materialy/kabelno-provodnikovaya-produkciya/2000224715-U411/","Открыть позицию")</x:f>
        <x:v>Открыть позицию</x:v>
      </x:c>
    </x:row>
    <x:row r="103" ht="28" customHeight="1">
      <x:c r="A103" s="16" t="str">
        <x:v>Ново-Кемеровская ТЭЦ</x:v>
      </x:c>
      <x:c r="B103" s="16" t="str">
        <x:v>2000242696-U411</x:v>
      </x:c>
      <x:c r="C103" s="16" t="str">
        <x:v>ПРОВОД ПУГВ 25</x:v>
      </x:c>
      <x:c r="D103" s="16" t="str">
        <x:v>Кабель общепромышленный и провод</x:v>
      </x:c>
      <x:c r="E103" s="16" t="str">
        <x:v>КМ</x:v>
      </x:c>
      <x:c r="F103" s="30" t="n">
        <x:v>0.1</x:v>
      </x:c>
      <x:c r="G103" s="17" t="n">
        <x:v>154272.76979999998</x:v>
      </x:c>
      <x:c r="H103" s="17" t="n">
        <x:f>G103*F103</x:f>
        <x:v>15427.276979999999</x:v>
      </x:c>
      <x:c r="I103" s="22" t="str">
        <x:f>HYPERLINK("https://etp-aktiv.ru/catalog/materialy/kabelno-provodnikovaya-produkciya/2000242696-U411/","Открыть позицию")</x:f>
        <x:v>Открыть позицию</x:v>
      </x:c>
    </x:row>
    <x:row r="104" ht="28" customHeight="1">
      <x:c r="A104" s="16" t="str">
        <x:v>Ново-Кемеровская ТЭЦ</x:v>
      </x:c>
      <x:c r="B104" s="16" t="str">
        <x:v>2000582532-U411</x:v>
      </x:c>
      <x:c r="C104" s="16" t="str">
        <x:v>СКОБА К731 У2 ТУ36-1448-82</x:v>
      </x:c>
      <x:c r="D104" s="16" t="str">
        <x:v>Монтажные изделия для кабельной продукции</x:v>
      </x:c>
      <x:c r="E104" s="16" t="str">
        <x:v>ШТ</x:v>
      </x:c>
      <x:c r="F104" s="21" t="n">
        <x:v>30</x:v>
      </x:c>
      <x:c r="G104" s="17" t="n">
        <x:v>10.0406</x:v>
      </x:c>
      <x:c r="H104" s="17" t="n">
        <x:f>G104*F104</x:f>
        <x:v>301.21799999999996</x:v>
      </x:c>
      <x:c r="I104" s="22" t="str">
        <x:f>HYPERLINK("https://etp-aktiv.ru/catalog/materialy/ehlektrotekhnicheskie-materialy/2000582532-U411/","Открыть позицию")</x:f>
        <x:v>Открыть позицию</x:v>
      </x:c>
    </x:row>
    <x:row r="105" ht="28" customHeight="1">
      <x:c r="A105" s="16" t="str">
        <x:v>Ново-Кемеровская ТЭЦ</x:v>
      </x:c>
      <x:c r="B105" s="16" t="str">
        <x:v>2001021636-U411</x:v>
      </x:c>
      <x:c r="C105" s="16" t="str">
        <x:v>ШАЙБА УСИЛЕННАЯ М8 ШМ8УК OSTEC 068809</x:v>
      </x:c>
      <x:c r="D105" s="16" t="str">
        <x:v>Монтажные изделия для кабельной продукции</x:v>
      </x:c>
      <x:c r="E105" s="16" t="str">
        <x:v>ШТ</x:v>
      </x:c>
      <x:c r="F105" s="21" t="n">
        <x:v>400</x:v>
      </x:c>
      <x:c r="G105" s="17" t="n">
        <x:v>0.3904</x:v>
      </x:c>
      <x:c r="H105" s="17" t="n">
        <x:f>G105*F105</x:f>
        <x:v>156.16</x:v>
      </x:c>
      <x:c r="I105" s="22" t="str">
        <x:f>HYPERLINK("https://etp-aktiv.ru/catalog/materialy/ehlektrotekhnicheskie-materialy/2001021636-U411/","Открыть позицию")</x:f>
        <x:v>Открыть позицию</x:v>
      </x:c>
    </x:row>
    <x:row r="106" ht="28" customHeight="1">
      <x:c r="A106" s="16" t="str">
        <x:v>Томь-Усинская ГРЭС</x:v>
      </x:c>
      <x:c r="B106" s="16" t="str">
        <x:v>2000016089-U111</x:v>
      </x:c>
      <x:c r="C106" s="16" t="str">
        <x:v>КАБЕЛЬ КВВГНГ 4*1,5 0,66КВ</x:v>
      </x:c>
      <x:c r="D106" s="16" t="str">
        <x:v>Кабель общепромышленный и провод</x:v>
      </x:c>
      <x:c r="E106" s="16" t="str">
        <x:v>КМ</x:v>
      </x:c>
      <x:c r="F106" s="29" t="n">
        <x:v>1.07</x:v>
      </x:c>
      <x:c r="G106" s="17" t="n">
        <x:v>32025</x:v>
      </x:c>
      <x:c r="H106" s="17" t="n">
        <x:f>G106*F106</x:f>
        <x:v>34266.75</x:v>
      </x:c>
      <x:c r="I106" s="22" t="str">
        <x:f>HYPERLINK("https://etp-aktiv.ru/catalog/materialy/kabelno-provodnikovaya-produkciya/2000016089-U111/","Открыть позицию")</x:f>
        <x:v>Открыть позицию</x:v>
      </x:c>
    </x:row>
    <x:row r="107" ht="28" customHeight="1">
      <x:c r="A107" s="16" t="str">
        <x:v>Томь-Усинская ГРЭС</x:v>
      </x:c>
      <x:c r="B107" s="16" t="str">
        <x:v>2000531641-U111</x:v>
      </x:c>
      <x:c r="C107" s="16" t="str">
        <x:v>ПРОВОД ПУГВ 1*95 Б</x:v>
      </x:c>
      <x:c r="D107" s="16" t="str">
        <x:v>Кабель общепромышленный и провод</x:v>
      </x:c>
      <x:c r="E107" s="16" t="str">
        <x:v>М</x:v>
      </x:c>
      <x:c r="F107" s="21" t="n">
        <x:v>6</x:v>
      </x:c>
      <x:c r="G107" s="17" t="n">
        <x:v>593.3958</x:v>
      </x:c>
      <x:c r="H107" s="17" t="n">
        <x:f>G107*F107</x:f>
        <x:v>3560.3748</x:v>
      </x:c>
      <x:c r="I107" s="22" t="str">
        <x:f>HYPERLINK("https://etp-aktiv.ru/catalog/materialy/kabelno-provodnikovaya-produkciya/2000531641-U111/","Открыть позицию")</x:f>
        <x:v>Открыть позицию</x:v>
      </x:c>
    </x:row>
    <x:row r="108" ht="28" customHeight="1">
      <x:c r="A108" s="16" t="str">
        <x:v>Томь-Усинская ГРЭС</x:v>
      </x:c>
      <x:c r="B108" s="16" t="str">
        <x:v>2000006949-U111</x:v>
      </x:c>
      <x:c r="C108" s="16" t="str">
        <x:v>ПРОВОД ПЭТ-155 0,315</x:v>
      </x:c>
      <x:c r="D108" s="16" t="str">
        <x:v>Кабель общепромышленный и провод</x:v>
      </x:c>
      <x:c r="E108" s="16" t="str">
        <x:v>КГ</x:v>
      </x:c>
      <x:c r="F108" s="29" t="n">
        <x:v>6.2</x:v>
      </x:c>
      <x:c r="G108" s="17" t="n">
        <x:v>886.1836</x:v>
      </x:c>
      <x:c r="H108" s="17" t="n">
        <x:f>G108*F108</x:f>
        <x:v>5494.33832</x:v>
      </x:c>
      <x:c r="I108" s="22" t="str">
        <x:f>HYPERLINK("https://etp-aktiv.ru/catalog/materialy/kabelno-provodnikovaya-produkciya/2000006949-U111/","Открыть позицию")</x:f>
        <x:v>Открыть позицию</x:v>
      </x:c>
    </x:row>
    <x:row r="109" ht="28" customHeight="1">
      <x:c r="A109" s="16" t="str">
        <x:v>Томь-Усинская ГРЭС</x:v>
      </x:c>
      <x:c r="B109" s="16" t="str">
        <x:v>2000007179-U111</x:v>
      </x:c>
      <x:c r="C109" s="16" t="str">
        <x:v>ПРОВОД ПЭТ-155 0,53</x:v>
      </x:c>
      <x:c r="D109" s="16" t="str">
        <x:v>Кабель общепромышленный и провод</x:v>
      </x:c>
      <x:c r="E109" s="16" t="str">
        <x:v>КГ</x:v>
      </x:c>
      <x:c r="F109" s="29" t="n">
        <x:v>3.85</x:v>
      </x:c>
      <x:c r="G109" s="17" t="n">
        <x:v>951.6</x:v>
      </x:c>
      <x:c r="H109" s="17" t="n">
        <x:f>G109*F109</x:f>
        <x:v>3663.6600000000003</x:v>
      </x:c>
      <x:c r="I109" s="22" t="str">
        <x:f>HYPERLINK("https://etp-aktiv.ru/catalog/materialy/kabelno-provodnikovaya-produkciya/2000007179-U111/","Открыть позицию")</x:f>
        <x:v>Открыть позицию</x:v>
      </x:c>
    </x:row>
    <x:row r="110" ht="28" customHeight="1">
      <x:c r="A110" s="16" t="str">
        <x:v>Томь-Усинская ГРЭС</x:v>
      </x:c>
      <x:c r="B110" s="16" t="str">
        <x:v>2000007387-U111</x:v>
      </x:c>
      <x:c r="C110" s="16" t="str">
        <x:v>ПРОВОД ПЭТВ-2 0,12</x:v>
      </x:c>
      <x:c r="D110" s="16" t="str">
        <x:v>Кабель общепромышленный и провод</x:v>
      </x:c>
      <x:c r="E110" s="16" t="str">
        <x:v>КГ</x:v>
      </x:c>
      <x:c r="F110" s="29" t="n">
        <x:v>13.55</x:v>
      </x:c>
      <x:c r="G110" s="17" t="n">
        <x:v>2209.1272</x:v>
      </x:c>
      <x:c r="H110" s="17" t="n">
        <x:f>G110*F110</x:f>
        <x:v>29933.67356</x:v>
      </x:c>
      <x:c r="I110" s="22" t="str">
        <x:f>HYPERLINK("https://etp-aktiv.ru/catalog/materialy/kabelno-provodnikovaya-produkciya/2000007387-U111/","Открыть позицию")</x:f>
        <x:v>Открыть позицию</x:v>
      </x:c>
    </x:row>
    <x:row r="111" ht="28" customHeight="1">
      <x:c r="A111" s="16" t="str">
        <x:v>Томь-Усинская ГРЭС</x:v>
      </x:c>
      <x:c r="B111" s="16" t="str">
        <x:v>2000007384-U111</x:v>
      </x:c>
      <x:c r="C111" s="16" t="str">
        <x:v>ПРОВОД ПЭТВ-2 0,14</x:v>
      </x:c>
      <x:c r="D111" s="16" t="str">
        <x:v>Кабель общепромышленный и провод</x:v>
      </x:c>
      <x:c r="E111" s="16" t="str">
        <x:v>КГ</x:v>
      </x:c>
      <x:c r="F111" s="29" t="n">
        <x:v>1.95</x:v>
      </x:c>
      <x:c r="G111" s="17" t="n">
        <x:v>951.6</x:v>
      </x:c>
      <x:c r="H111" s="17" t="n">
        <x:f>G111*F111</x:f>
        <x:v>1855.62</x:v>
      </x:c>
      <x:c r="I111" s="22" t="str">
        <x:f>HYPERLINK("https://etp-aktiv.ru/catalog/materialy/kabelno-provodnikovaya-produkciya/2000007384-U111/","Открыть позицию")</x:f>
        <x:v>Открыть позицию</x:v>
      </x:c>
    </x:row>
    <x:row r="112" ht="28" customHeight="1">
      <x:c r="A112" s="16" t="str">
        <x:v>Томь-Усинская ГРЭС</x:v>
      </x:c>
      <x:c r="B112" s="16" t="str">
        <x:v>2000007382-U111</x:v>
      </x:c>
      <x:c r="C112" s="16" t="str">
        <x:v>ПРОВОД ПЭТВ-2 0,16</x:v>
      </x:c>
      <x:c r="D112" s="16" t="str">
        <x:v>Кабель общепромышленный и провод</x:v>
      </x:c>
      <x:c r="E112" s="16" t="str">
        <x:v>КГ</x:v>
      </x:c>
      <x:c r="F112" s="29" t="n">
        <x:v>15.1</x:v>
      </x:c>
      <x:c r="G112" s="17" t="n">
        <x:v>1050.7859999999998</x:v>
      </x:c>
      <x:c r="H112" s="17" t="n">
        <x:f>G112*F112</x:f>
        <x:v>15866.868599999998</x:v>
      </x:c>
      <x:c r="I112" s="22" t="str">
        <x:f>HYPERLINK("https://etp-aktiv.ru/catalog/materialy/kabelno-provodnikovaya-produkciya/2000007382-U111/","Открыть позицию")</x:f>
        <x:v>Открыть позицию</x:v>
      </x:c>
    </x:row>
    <x:row r="113" ht="28" customHeight="1">
      <x:c r="A113" s="16" t="str">
        <x:v>Томь-Усинская ГРЭС</x:v>
      </x:c>
      <x:c r="B113" s="16" t="str">
        <x:v>2000007191-U111</x:v>
      </x:c>
      <x:c r="C113" s="16" t="str">
        <x:v>ПРОВОД ПЭТВ-2 0,315</x:v>
      </x:c>
      <x:c r="D113" s="16" t="str">
        <x:v>Кабель общепромышленный и провод</x:v>
      </x:c>
      <x:c r="E113" s="16" t="str">
        <x:v>КГ</x:v>
      </x:c>
      <x:c r="F113" s="21" t="n">
        <x:v>10</x:v>
      </x:c>
      <x:c r="G113" s="17" t="n">
        <x:v>1079.7</x:v>
      </x:c>
      <x:c r="H113" s="17" t="n">
        <x:f>G113*F113</x:f>
        <x:v>10797</x:v>
      </x:c>
      <x:c r="I113" s="22" t="str">
        <x:f>HYPERLINK("https://etp-aktiv.ru/catalog/materialy/kabelno-provodnikovaya-produkciya/2000007191-U111/","Открыть позицию")</x:f>
        <x:v>Открыть позицию</x:v>
      </x:c>
    </x:row>
    <x:row r="114" ht="28" customHeight="1">
      <x:c r="A114" s="16" t="str">
        <x:v>Томь-Усинская ГРЭС</x:v>
      </x:c>
      <x:c r="B114" s="16" t="str">
        <x:v>2000007256-U111</x:v>
      </x:c>
      <x:c r="C114" s="16" t="str">
        <x:v>ПРОВОД ПЭТВ-2 0,335</x:v>
      </x:c>
      <x:c r="D114" s="16" t="str">
        <x:v>Кабель общепромышленный и провод</x:v>
      </x:c>
      <x:c r="E114" s="16" t="str">
        <x:v>КГ</x:v>
      </x:c>
      <x:c r="F114" s="29" t="n">
        <x:v>10.1</x:v>
      </x:c>
      <x:c r="G114" s="17" t="n">
        <x:v>1079.7</x:v>
      </x:c>
      <x:c r="H114" s="17" t="n">
        <x:f>G114*F114</x:f>
        <x:v>10904.97</x:v>
      </x:c>
      <x:c r="I114" s="22" t="str">
        <x:f>HYPERLINK("https://etp-aktiv.ru/catalog/materialy/kabelno-provodnikovaya-produkciya/2000007256-U111/","Открыть позицию")</x:f>
        <x:v>Открыть позицию</x:v>
      </x:c>
    </x:row>
    <x:row r="115" ht="28" customHeight="1">
      <x:c r="A115" s="16" t="str">
        <x:v>Томь-Усинская ГРЭС</x:v>
      </x:c>
      <x:c r="B115" s="16" t="str">
        <x:v>2000006442-U111</x:v>
      </x:c>
      <x:c r="C115" s="16" t="str">
        <x:v>ПРОВОД ПЭТВ-2 0,67</x:v>
      </x:c>
      <x:c r="D115" s="16" t="str">
        <x:v>Кабель общепромышленный и провод</x:v>
      </x:c>
      <x:c r="E115" s="16" t="str">
        <x:v>КГ</x:v>
      </x:c>
      <x:c r="F115" s="30" t="n">
        <x:v>0.05</x:v>
      </x:c>
      <x:c r="G115" s="17" t="n">
        <x:v>1571.055</x:v>
      </x:c>
      <x:c r="H115" s="17" t="n">
        <x:f>G115*F115</x:f>
        <x:v>78.55275</x:v>
      </x:c>
      <x:c r="I115" s="22" t="str">
        <x:f>HYPERLINK("https://etp-aktiv.ru/catalog/materialy/kabelno-provodnikovaya-produkciya/2000006442-U111/","Открыть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c3aa799ccbaa400a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Электрооборудование, КИПиА и связь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2000535255-U112</x:v>
      </x:c>
      <x:c r="C5" s="16" t="str">
        <x:v>АВТОМАТ АП50-3МТ-16А-10IH-400АС-УЗ</x:v>
      </x:c>
      <x:c r="D5" s="16" t="str">
        <x:v>Низковольтная аппаратура и запасные части</x:v>
      </x:c>
      <x:c r="E5" s="16" t="str">
        <x:v>ШТ</x:v>
      </x:c>
      <x:c r="F5" s="21" t="n">
        <x:v>3</x:v>
      </x:c>
      <x:c r="G5" s="17" t="n">
        <x:v>308.9284</x:v>
      </x:c>
      <x:c r="H5" s="17" t="n">
        <x:f>G5*F5</x:f>
        <x:v>926.7852</x:v>
      </x:c>
      <x:c r="I5" s="22" t="str">
        <x:f>HYPERLINK("https://etp-aktiv.ru/catalog/materialy/nizkovoltnaya-apparatura-i-zapasnye-chasti/2000535255-U112/","Открыть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2000002152-U112</x:v>
      </x:c>
      <x:c r="C6" s="16" t="str">
        <x:v>АВТОМАТ ВА 47-29 4А 1P С</x:v>
      </x:c>
      <x:c r="D6" s="16" t="str">
        <x:v>Низковольтная аппаратура и запасные части</x:v>
      </x:c>
      <x:c r="E6" s="16" t="str">
        <x:v>ШТ</x:v>
      </x:c>
      <x:c r="F6" s="21" t="n">
        <x:v>26</x:v>
      </x:c>
      <x:c r="G6" s="17" t="n">
        <x:v>97.905</x:v>
      </x:c>
      <x:c r="H6" s="17" t="n">
        <x:f>G6*F6</x:f>
        <x:v>2545.53</x:v>
      </x:c>
      <x:c r="I6" s="22" t="str">
        <x:f>HYPERLINK("https://etp-aktiv.ru/catalog/materialy/nizkovoltnaya-apparatura-i-zapasnye-chasti/2000002152-U112/","Открыть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2000138436-U112</x:v>
      </x:c>
      <x:c r="C7" s="16" t="str">
        <x:v>АВТОМАТ ВА 51-25 16А</x:v>
      </x:c>
      <x:c r="D7" s="16" t="str">
        <x:v>Низковольтная аппаратура и запасные части</x:v>
      </x:c>
      <x:c r="E7" s="16" t="str">
        <x:v>ШТ</x:v>
      </x:c>
      <x:c r="F7" s="21" t="n">
        <x:v>2</x:v>
      </x:c>
      <x:c r="G7" s="17" t="n">
        <x:v>341.80740000000003</x:v>
      </x:c>
      <x:c r="H7" s="17" t="n">
        <x:f>G7*F7</x:f>
        <x:v>683.6148000000001</x:v>
      </x:c>
      <x:c r="I7" s="22" t="str">
        <x:f>HYPERLINK("https://etp-aktiv.ru/catalog/materialy/nizkovoltnaya-apparatura-i-zapasnye-chasti/2000138436-U112/","Открыть позицию")</x:f>
        <x:v>Открыть позицию</x:v>
      </x:c>
    </x:row>
    <x:row r="8" ht="28" customHeight="1">
      <x:c r="A8" s="16" t="str">
        <x:v>Беловская ГРЭС</x:v>
      </x:c>
      <x:c r="B8" s="16" t="str">
        <x:v>2000550077-U112</x:v>
      </x:c>
      <x:c r="C8" s="16" t="str">
        <x:v>АККУМУЛЯТОР KEEPPOWER 18500 3,7В 1700МАЧ</x:v>
      </x:c>
      <x:c r="D8" s="16" t="str">
        <x:v>Элементы питания</x:v>
      </x:c>
      <x:c r="E8" s="16" t="str">
        <x:v>ШТ</x:v>
      </x:c>
      <x:c r="F8" s="21" t="n">
        <x:v>21</x:v>
      </x:c>
      <x:c r="G8" s="17" t="n">
        <x:v>238.29039999999998</x:v>
      </x:c>
      <x:c r="H8" s="17" t="n">
        <x:f>G8*F8</x:f>
        <x:v>5004.0984</x:v>
      </x:c>
      <x:c r="I8" s="22" t="str">
        <x:f>HYPERLINK("https://etp-aktiv.ru/catalog/materialy/akkumulyatory/2000550077-U112/","Открыть позицию")</x:f>
        <x:v>Открыть позицию</x:v>
      </x:c>
    </x:row>
    <x:row r="9" ht="28" customHeight="1">
      <x:c r="A9" s="16" t="str">
        <x:v>Беловская ГРЭС</x:v>
      </x:c>
      <x:c r="B9" s="16" t="str">
        <x:v>2000541347-U112</x:v>
      </x:c>
      <x:c r="C9" s="16" t="str">
        <x:v>БЛОК ПИТАНИЯ БП 60Б-Д4-24</x:v>
      </x:c>
      <x:c r="D9" s="16" t="str">
        <x:v>Запасные части и принадлежности для приборов КИПиА</x:v>
      </x:c>
      <x:c r="E9" s="16" t="str">
        <x:v>ШТ</x:v>
      </x:c>
      <x:c r="F9" s="21" t="n">
        <x:v>0</x:v>
      </x:c>
      <x:c r="G9" s="17" t="n">
        <x:v>3816.1356</x:v>
      </x:c>
      <x:c r="H9" s="17" t="n">
        <x:f>G9*F9</x:f>
        <x:v>0</x:v>
      </x:c>
      <x:c r="I9" s="22" t="str">
        <x:f>HYPERLINK("https://etp-aktiv.ru/catalog/materialy/zapasnye-chasti-i-prinadlezhnosti-dlya-priborov-kipia/2000541347-U112/","Открыть позицию")</x:f>
        <x:v>Открыть позицию</x:v>
      </x:c>
    </x:row>
    <x:row r="10" ht="28" customHeight="1">
      <x:c r="A10" s="16" t="str">
        <x:v>Беловская ГРЭС</x:v>
      </x:c>
      <x:c r="B10" s="16" t="str">
        <x:v>2000447724-U112</x:v>
      </x:c>
      <x:c r="C10" s="16" t="str">
        <x:v>ВИЛКА В6-215 250В 6А IP20</x:v>
      </x:c>
      <x:c r="D10" s="16" t="str">
        <x:v>Осветительная продукция и изделия электроустановочные</x:v>
      </x:c>
      <x:c r="E10" s="16" t="str">
        <x:v>ШТ</x:v>
      </x:c>
      <x:c r="F10" s="21" t="n">
        <x:v>34</x:v>
      </x:c>
      <x:c r="G10" s="17" t="n">
        <x:v>14.2252</x:v>
      </x:c>
      <x:c r="H10" s="17" t="n">
        <x:f>G10*F10</x:f>
        <x:v>483.6568</x:v>
      </x:c>
      <x:c r="I10" s="22" t="str">
        <x:f>HYPERLINK("https://etp-aktiv.ru/catalog/materialy/ehlektrotekhnicheskie-materialy/2000447724-U112/","Открыть позицию")</x:f>
        <x:v>Открыть позицию</x:v>
      </x:c>
    </x:row>
    <x:row r="11" ht="28" customHeight="1">
      <x:c r="A11" s="16" t="str">
        <x:v>Беловская ГРЭС</x:v>
      </x:c>
      <x:c r="B11" s="16" t="str">
        <x:v>2000524647-U112</x:v>
      </x:c>
      <x:c r="C11" s="16" t="str">
        <x:v>ВКЛАДЫШ 5ВК.263.184ИД</x:v>
      </x:c>
      <x:c r="D11" s="16" t="str">
        <x:v>Запасные части к электродвигателям</x:v>
      </x:c>
      <x:c r="E11" s="16" t="str">
        <x:v>ШТ</x:v>
      </x:c>
      <x:c r="F11" s="21" t="n">
        <x:v>1</x:v>
      </x:c>
      <x:c r="G11" s="17" t="n">
        <x:v>113115.95999999999</x:v>
      </x:c>
      <x:c r="H11" s="17" t="n">
        <x:f>G11*F11</x:f>
        <x:v>113115.95999999999</x:v>
      </x:c>
      <x:c r="I11" s="22" t="str">
        <x:f>HYPERLINK("https://etp-aktiv.ru/catalog/materialy/ehlektrotekhnicheskie-materialy/2000524647-U112/","Открыть позицию")</x:f>
        <x:v>Открыть позицию</x:v>
      </x:c>
    </x:row>
    <x:row r="12" ht="28" customHeight="1">
      <x:c r="A12" s="16" t="str">
        <x:v>Беловская ГРЭС</x:v>
      </x:c>
      <x:c r="B12" s="16" t="str">
        <x:v>2000535455-U112</x:v>
      </x:c>
      <x:c r="C12" s="16" t="str">
        <x:v>ВЫКЛ ВА51-35М1-340010-25А-150-690AC-УХЛ3</x:v>
      </x:c>
      <x:c r="D12" s="16" t="str">
        <x:v>Низковольтная аппаратура и запасные части</x:v>
      </x:c>
      <x:c r="E12" s="16" t="str">
        <x:v>ШТ</x:v>
      </x:c>
      <x:c r="F12" s="21" t="n">
        <x:v>4</x:v>
      </x:c>
      <x:c r="G12" s="17" t="n">
        <x:v>301.5352</x:v>
      </x:c>
      <x:c r="H12" s="17" t="n">
        <x:f>G12*F12</x:f>
        <x:v>1206.1408</x:v>
      </x:c>
      <x:c r="I12" s="22" t="str">
        <x:f>HYPERLINK("https://etp-aktiv.ru/catalog/materialy/nizkovoltnaya-apparatura-i-zapasnye-chasti/2000535455-U112/","Открыть позицию")</x:f>
        <x:v>Открыть позицию</x:v>
      </x:c>
    </x:row>
    <x:row r="13" ht="28" customHeight="1">
      <x:c r="A13" s="16" t="str">
        <x:v>Беловская ГРЭС</x:v>
      </x:c>
      <x:c r="B13" s="16" t="str">
        <x:v>2000567736-U112</x:v>
      </x:c>
      <x:c r="C13" s="16" t="str">
        <x:v>ВЫКЛЮЧАТЕЛЬ ВА47-29 4,5КА 2А 3П Х-КА C</x:v>
      </x:c>
      <x:c r="D13" s="16" t="str">
        <x:v>Низковольтная аппаратура и запасные части</x:v>
      </x:c>
      <x:c r="E13" s="16" t="str">
        <x:v>ШТ</x:v>
      </x:c>
      <x:c r="F13" s="21" t="n">
        <x:v>6</x:v>
      </x:c>
      <x:c r="G13" s="17" t="n">
        <x:v>153.53699999999998</x:v>
      </x:c>
      <x:c r="H13" s="17" t="n">
        <x:f>G13*F13</x:f>
        <x:v>921.2219999999999</x:v>
      </x:c>
      <x:c r="I13" s="22" t="str">
        <x:f>HYPERLINK("https://etp-aktiv.ru/catalog/materialy/nizkovoltnaya-apparatura-i-zapasnye-chasti/2000567736-U112/","Открыть позицию")</x:f>
        <x:v>Открыть позицию</x:v>
      </x:c>
    </x:row>
    <x:row r="14" ht="28" customHeight="1">
      <x:c r="A14" s="16" t="str">
        <x:v>Беловская ГРЭС</x:v>
      </x:c>
      <x:c r="B14" s="16" t="str">
        <x:v>2000535452-U112</x:v>
      </x:c>
      <x:c r="C14" s="16" t="str">
        <x:v>ВЫКЛЮЧАТЕЛЬ ВА51-35-М1-340010-100А 690В</x:v>
      </x:c>
      <x:c r="D14" s="16" t="str">
        <x:v>Низковольтная аппаратура и запасные части</x:v>
      </x:c>
      <x:c r="E14" s="16" t="str">
        <x:v>ШТ</x:v>
      </x:c>
      <x:c r="F14" s="21" t="n">
        <x:v>3</x:v>
      </x:c>
      <x:c r="G14" s="17" t="n">
        <x:v>221.7472</x:v>
      </x:c>
      <x:c r="H14" s="17" t="n">
        <x:f>G14*F14</x:f>
        <x:v>665.2416</x:v>
      </x:c>
      <x:c r="I14" s="22" t="str">
        <x:f>HYPERLINK("https://etp-aktiv.ru/catalog/materialy/nizkovoltnaya-apparatura-i-zapasnye-chasti/2000535452-U112/","Открыть позицию")</x:f>
        <x:v>Открыть позицию</x:v>
      </x:c>
    </x:row>
    <x:row r="15" ht="28" customHeight="1">
      <x:c r="A15" s="16" t="str">
        <x:v>Беловская ГРЭС</x:v>
      </x:c>
      <x:c r="B15" s="16" t="str">
        <x:v>2000535467-U112</x:v>
      </x:c>
      <x:c r="C15" s="16" t="str">
        <x:v>ВЫКЛЮЧАТЕЛЬ ВА57-31-340010-80А-1200-690</x:v>
      </x:c>
      <x:c r="D15" s="16" t="str">
        <x:v>Низковольтная аппаратура и запасные части</x:v>
      </x:c>
      <x:c r="E15" s="16" t="str">
        <x:v>ШТ</x:v>
      </x:c>
      <x:c r="F15" s="21" t="n">
        <x:v>4</x:v>
      </x:c>
      <x:c r="G15" s="17" t="n">
        <x:v>295.6914</x:v>
      </x:c>
      <x:c r="H15" s="17" t="n">
        <x:f>G15*F15</x:f>
        <x:v>1182.7656</x:v>
      </x:c>
      <x:c r="I15" s="22" t="str">
        <x:f>HYPERLINK("https://etp-aktiv.ru/catalog/materialy/nizkovoltnaya-apparatura-i-zapasnye-chasti/2000535467-U112/","Открыть позицию")</x:f>
        <x:v>Открыть позицию</x:v>
      </x:c>
    </x:row>
    <x:row r="16" ht="28" customHeight="1">
      <x:c r="A16" s="16" t="str">
        <x:v>Беловская ГРЭС</x:v>
      </x:c>
      <x:c r="B16" s="16" t="str">
        <x:v>2000535472-U112</x:v>
      </x:c>
      <x:c r="C16" s="16" t="str">
        <x:v>ВЫКЛЮЧАТЕЛЬ ВА57-35-340010-100А-250-690</x:v>
      </x:c>
      <x:c r="D16" s="16" t="str">
        <x:v>Низковольтная аппаратура и запасные части</x:v>
      </x:c>
      <x:c r="E16" s="16" t="str">
        <x:v>ШТ</x:v>
      </x:c>
      <x:c r="F16" s="21" t="n">
        <x:v>3</x:v>
      </x:c>
      <x:c r="G16" s="17" t="n">
        <x:v>486.6092</x:v>
      </x:c>
      <x:c r="H16" s="17" t="n">
        <x:f>G16*F16</x:f>
        <x:v>1459.8276</x:v>
      </x:c>
      <x:c r="I16" s="22" t="str">
        <x:f>HYPERLINK("https://etp-aktiv.ru/catalog/materialy/nizkovoltnaya-apparatura-i-zapasnye-chasti/2000535472-U112/","Открыть позицию")</x:f>
        <x:v>Открыть позицию</x:v>
      </x:c>
    </x:row>
    <x:row r="17" ht="28" customHeight="1">
      <x:c r="A17" s="16" t="str">
        <x:v>Беловская ГРЭС</x:v>
      </x:c>
      <x:c r="B17" s="16" t="str">
        <x:v>2000535576-U112</x:v>
      </x:c>
      <x:c r="C17" s="16" t="str">
        <x:v>ВЫКЛЮЧАТЕЛЬ ПВ2-63 Н2 IP00 ИСП.3</x:v>
      </x:c>
      <x:c r="D17" s="16" t="str">
        <x:v>Низковольтная аппаратура и запасные части</x:v>
      </x:c>
      <x:c r="E17" s="16" t="str">
        <x:v>ШТ</x:v>
      </x:c>
      <x:c r="F17" s="21" t="n">
        <x:v>1</x:v>
      </x:c>
      <x:c r="G17" s="17" t="n">
        <x:v>151.524</x:v>
      </x:c>
      <x:c r="H17" s="17" t="n">
        <x:f>G17*F17</x:f>
        <x:v>151.524</x:v>
      </x:c>
      <x:c r="I17" s="22" t="str">
        <x:f>HYPERLINK("https://etp-aktiv.ru/catalog/materialy/nizkovoltnaya-apparatura-i-zapasnye-chasti/2000535576-U112/","Открыть позицию")</x:f>
        <x:v>Открыть позицию</x:v>
      </x:c>
    </x:row>
    <x:row r="18" ht="28" customHeight="1">
      <x:c r="A18" s="16" t="str">
        <x:v>Беловская ГРЭС</x:v>
      </x:c>
      <x:c r="B18" s="16" t="str">
        <x:v>2000541562-U112</x:v>
      </x:c>
      <x:c r="C18" s="16" t="str">
        <x:v>ДАТЧИК GS.01.00.00.000</x:v>
      </x:c>
      <x:c r="D18" s="16" t="str">
        <x:v>Запасные части и принадлежности для приборов КИПиА</x:v>
      </x:c>
      <x:c r="E18" s="16" t="str">
        <x:v>ШТ</x:v>
      </x:c>
      <x:c r="F18" s="21" t="n">
        <x:v>1</x:v>
      </x:c>
      <x:c r="G18" s="17" t="n">
        <x:v>5795</x:v>
      </x:c>
      <x:c r="H18" s="17" t="n">
        <x:f>G18*F18</x:f>
        <x:v>5795</x:v>
      </x:c>
      <x:c r="I18" s="22" t="str">
        <x:f>HYPERLINK("https://etp-aktiv.ru/catalog/materialy/zapasnye-chasti-i-prinadlezhnosti-dlya-priborov-kipia/2000541562-U112/","Открыть позицию")</x:f>
        <x:v>Открыть позицию</x:v>
      </x:c>
    </x:row>
    <x:row r="19" ht="28" customHeight="1">
      <x:c r="A19" s="16" t="str">
        <x:v>Беловская ГРЭС</x:v>
      </x:c>
      <x:c r="B19" s="16" t="str">
        <x:v>2000866343-U112</x:v>
      </x:c>
      <x:c r="C19" s="16" t="str">
        <x:v>КМП ШТЫР LV432518 COMPACT NSX400/630 2ШТ</x:v>
      </x:c>
      <x:c r="D19" s="16" t="str">
        <x:v>Запасные части к выключателям</x:v>
      </x:c>
      <x:c r="E19" s="16" t="str">
        <x:v>ШТ</x:v>
      </x:c>
      <x:c r="F19" s="21" t="n">
        <x:v>1</x:v>
      </x:c>
      <x:c r="G19" s="17" t="n">
        <x:v>5359.0086</x:v>
      </x:c>
      <x:c r="H19" s="17" t="n">
        <x:f>G19*F19</x:f>
        <x:v>5359.0086</x:v>
      </x:c>
      <x:c r="I19" s="22" t="str">
        <x:f>HYPERLINK("https://etp-aktiv.ru/catalog/materialy/ehlektrotekhnicheskie-materialy/2000866343-U112/","Открыть позицию")</x:f>
        <x:v>Открыть позицию</x:v>
      </x:c>
    </x:row>
    <x:row r="20" ht="28" customHeight="1">
      <x:c r="A20" s="16" t="str">
        <x:v>Беловская ГРЭС</x:v>
      </x:c>
      <x:c r="B20" s="16" t="str">
        <x:v>2000140603-U112</x:v>
      </x:c>
      <x:c r="C20" s="16" t="str">
        <x:v>ЛАМПА Б 500ВТ Е40</x:v>
      </x:c>
      <x:c r="D20" s="16" t="str">
        <x:v>Осветительная продукция и изделия электроустановочные</x:v>
      </x:c>
      <x:c r="E20" s="16" t="str">
        <x:v>ШТ</x:v>
      </x:c>
      <x:c r="F20" s="21" t="n">
        <x:v>552</x:v>
      </x:c>
      <x:c r="G20" s="17" t="n">
        <x:v>82.2524</x:v>
      </x:c>
      <x:c r="H20" s="17" t="n">
        <x:f>G20*F20</x:f>
        <x:v>45403.324799999995</x:v>
      </x:c>
      <x:c r="I20" s="22" t="str">
        <x:f>HYPERLINK("https://etp-aktiv.ru/catalog/materialy/ehlektrotekhnicheskie-materialy/2000140603-U112/","Открыть позицию")</x:f>
        <x:v>Открыть позицию</x:v>
      </x:c>
    </x:row>
    <x:row r="21" ht="28" customHeight="1">
      <x:c r="A21" s="16" t="str">
        <x:v>Беловская ГРЭС</x:v>
      </x:c>
      <x:c r="B21" s="16" t="str">
        <x:v>2000207963-U112</x:v>
      </x:c>
      <x:c r="C21" s="16" t="str">
        <x:v>ЛАМПА Б 95ВТ Е27</x:v>
      </x:c>
      <x:c r="D21" s="16" t="str">
        <x:v>Осветительная продукция и изделия электроустановочные</x:v>
      </x:c>
      <x:c r="E21" s="16" t="str">
        <x:v>ШТ</x:v>
      </x:c>
      <x:c r="F21" s="21" t="n">
        <x:v>1108</x:v>
      </x:c>
      <x:c r="G21" s="17" t="n">
        <x:v>12.370800000000001</x:v>
      </x:c>
      <x:c r="H21" s="17" t="n">
        <x:f>G21*F21</x:f>
        <x:v>13706.8464</x:v>
      </x:c>
      <x:c r="I21" s="22" t="str">
        <x:f>HYPERLINK("https://etp-aktiv.ru/catalog/materialy/ehlektrotekhnicheskie-materialy/2000207963-U112/","Открыть позицию")</x:f>
        <x:v>Открыть позицию</x:v>
      </x:c>
    </x:row>
    <x:row r="22" ht="28" customHeight="1">
      <x:c r="A22" s="16" t="str">
        <x:v>Беловская ГРЭС</x:v>
      </x:c>
      <x:c r="B22" s="16" t="str">
        <x:v>2000191304-U112</x:v>
      </x:c>
      <x:c r="C22" s="16" t="str">
        <x:v>ЛАМПА ДРЛ 250ВТ Е40</x:v>
      </x:c>
      <x:c r="D22" s="16" t="str">
        <x:v>Осветительная продукция и изделия электроустановочные</x:v>
      </x:c>
      <x:c r="E22" s="16" t="str">
        <x:v>ШТ</x:v>
      </x:c>
      <x:c r="F22" s="21" t="n">
        <x:v>15</x:v>
      </x:c>
      <x:c r="G22" s="17" t="n">
        <x:v>282.0152</x:v>
      </x:c>
      <x:c r="H22" s="17" t="n">
        <x:f>G22*F22</x:f>
        <x:v>4230.228</x:v>
      </x:c>
      <x:c r="I22" s="22" t="str">
        <x:f>HYPERLINK("https://etp-aktiv.ru/catalog/materialy/ehlektrotekhnicheskie-materialy/2000191304-U112/","Открыть позицию")</x:f>
        <x:v>Открыть позицию</x:v>
      </x:c>
    </x:row>
    <x:row r="23" ht="28" customHeight="1">
      <x:c r="A23" s="16" t="str">
        <x:v>Беловская ГРЭС</x:v>
      </x:c>
      <x:c r="B23" s="16" t="str">
        <x:v>2000548535-U112</x:v>
      </x:c>
      <x:c r="C23" s="16" t="str">
        <x:v>ЛЕНТА АСБОСТЕКЛЯННАЯ ЛАСЭ 0,5*30ММ</x:v>
      </x:c>
      <x:c r="D23" s="16" t="str">
        <x:v>Электроизоляционные материалы</x:v>
      </x:c>
      <x:c r="E23" s="16" t="str">
        <x:v>М</x:v>
      </x:c>
      <x:c r="F23" s="21" t="n">
        <x:v>190</x:v>
      </x:c>
      <x:c r="G23" s="17" t="n">
        <x:v>689.4342</x:v>
      </x:c>
      <x:c r="H23" s="17" t="n">
        <x:f>G23*F23</x:f>
        <x:v>130992.498</x:v>
      </x:c>
      <x:c r="I23" s="22" t="str">
        <x:f>HYPERLINK("https://etp-aktiv.ru/catalog/materialy/ehlektroizolyacionnye-materialy/2000548535-U112/","Открыть позицию")</x:f>
        <x:v>Открыть позицию</x:v>
      </x:c>
    </x:row>
    <x:row r="24" ht="28" customHeight="1">
      <x:c r="A24" s="16" t="str">
        <x:v>Беловская ГРЭС</x:v>
      </x:c>
      <x:c r="B24" s="16" t="str">
        <x:v>2000029351-U112</x:v>
      </x:c>
      <x:c r="C24" s="16" t="str">
        <x:v>ЛЕНТА БАТИСТ ЛЭ 20.65 НП ЭФ 0,15*20</x:v>
      </x:c>
      <x:c r="D24" s="16" t="str">
        <x:v>Электроизоляционные материалы</x:v>
      </x:c>
      <x:c r="E24" s="16" t="str">
        <x:v>М</x:v>
      </x:c>
      <x:c r="F24" s="21" t="n">
        <x:v>1000</x:v>
      </x:c>
      <x:c r="G24" s="17" t="n">
        <x:v>15.555</x:v>
      </x:c>
      <x:c r="H24" s="17" t="n">
        <x:f>G24*F24</x:f>
        <x:v>15555</x:v>
      </x:c>
      <x:c r="I24" s="22" t="str">
        <x:f>HYPERLINK("https://etp-aktiv.ru/catalog/materialy/ehlektroizolyacionnye-materialy/2000029351-U112/","Открыть позицию")</x:f>
        <x:v>Открыть позицию</x:v>
      </x:c>
    </x:row>
    <x:row r="25" ht="28" customHeight="1">
      <x:c r="A25" s="16" t="str">
        <x:v>Беловская ГРЭС</x:v>
      </x:c>
      <x:c r="B25" s="16" t="str">
        <x:v>2000570583-U112</x:v>
      </x:c>
      <x:c r="C25" s="16" t="str">
        <x:v>ЛЕНТА СЛЮДИНИТОВАЯ ЛСК-110 ТПЛ 0,08*20</x:v>
      </x:c>
      <x:c r="D25" s="16" t="str">
        <x:v>Электроизоляционные материалы</x:v>
      </x:c>
      <x:c r="E25" s="16" t="str">
        <x:v>КГ</x:v>
      </x:c>
      <x:c r="F25" s="29" t="n">
        <x:v>15.92</x:v>
      </x:c>
      <x:c r="G25" s="17" t="n">
        <x:v>1165.6978</x:v>
      </x:c>
      <x:c r="H25" s="17" t="n">
        <x:f>G25*F25</x:f>
        <x:v>18557.908976</x:v>
      </x:c>
      <x:c r="I25" s="22" t="str">
        <x:f>HYPERLINK("https://etp-aktiv.ru/catalog/materialy/ehlektroizolyacionnye-materialy/2000570583-U112/","Открыть позицию")</x:f>
        <x:v>Открыть позицию</x:v>
      </x:c>
    </x:row>
    <x:row r="26" ht="28" customHeight="1">
      <x:c r="A26" s="16" t="str">
        <x:v>Беловская ГРЭС</x:v>
      </x:c>
      <x:c r="B26" s="16" t="str">
        <x:v>2000558499-U112</x:v>
      </x:c>
      <x:c r="C26" s="16" t="str">
        <x:v>ЛЕНТА СЛЮДИНИТОВАЯ ЛСКН 160-ТТ25</x:v>
      </x:c>
      <x:c r="D26" s="16" t="str">
        <x:v>Электроизоляционные материалы</x:v>
      </x:c>
      <x:c r="E26" s="16" t="str">
        <x:v>КГ</x:v>
      </x:c>
      <x:c r="F26" s="29" t="n">
        <x:v>2.1</x:v>
      </x:c>
      <x:c r="G26" s="17" t="n">
        <x:v>1841.9681999999998</x:v>
      </x:c>
      <x:c r="H26" s="17" t="n">
        <x:f>G26*F26</x:f>
        <x:v>3868.1332199999997</x:v>
      </x:c>
      <x:c r="I26" s="22" t="str">
        <x:f>HYPERLINK("https://etp-aktiv.ru/catalog/materialy/ehlektroizolyacionnye-materialy/2000558499-U112/","Открыть позицию")</x:f>
        <x:v>Открыть позицию</x:v>
      </x:c>
    </x:row>
    <x:row r="27" ht="28" customHeight="1">
      <x:c r="A27" s="16" t="str">
        <x:v>Беловская ГРЭС</x:v>
      </x:c>
      <x:c r="B27" s="16" t="str">
        <x:v>2000556113-U112</x:v>
      </x:c>
      <x:c r="C27" s="16" t="str">
        <x:v>ЛЕНТА ТАФТЯНАЯ ЛЭ-25-38 25ММ</x:v>
      </x:c>
      <x:c r="D27" s="16" t="str">
        <x:v>Электроизоляционные материалы</x:v>
      </x:c>
      <x:c r="E27" s="16" t="str">
        <x:v>М</x:v>
      </x:c>
      <x:c r="F27" s="21" t="n">
        <x:v>100</x:v>
      </x:c>
      <x:c r="G27" s="17" t="n">
        <x:v>1.281</x:v>
      </x:c>
      <x:c r="H27" s="17" t="n">
        <x:f>G27*F27</x:f>
        <x:v>128.1</x:v>
      </x:c>
      <x:c r="I27" s="22" t="str">
        <x:f>HYPERLINK("https://etp-aktiv.ru/catalog/materialy/ehlektroizolyacionnye-materialy/2000556113-U112/","Открыть позицию")</x:f>
        <x:v>Открыть позицию</x:v>
      </x:c>
    </x:row>
    <x:row r="28" ht="28" customHeight="1">
      <x:c r="A28" s="16" t="str">
        <x:v>Беловская ГРЭС</x:v>
      </x:c>
      <x:c r="B28" s="16" t="str">
        <x:v>2001046710-U112</x:v>
      </x:c>
      <x:c r="C28" s="16" t="str">
        <x:v>МОДУЛЬ СВЕТОДИОДНЫЙ LED 3030-96 5000К</x:v>
      </x:c>
      <x:c r="D28" s="16" t="str">
        <x:v>Осветительная продукция и изделия электроустановочные</x:v>
      </x:c>
      <x:c r="E28" s="16" t="str">
        <x:v>ШТ</x:v>
      </x:c>
      <x:c r="F28" s="21" t="n">
        <x:v>40</x:v>
      </x:c>
      <x:c r="G28" s="17" t="n">
        <x:v>713.6999999999999</x:v>
      </x:c>
      <x:c r="H28" s="17" t="n">
        <x:f>G28*F28</x:f>
        <x:v>28547.999999999996</x:v>
      </x:c>
      <x:c r="I28" s="22" t="str">
        <x:f>HYPERLINK("https://etp-aktiv.ru/catalog/materialy/ehlektrotekhnicheskie-materialy/2001046710-U112/","Открыть позицию")</x:f>
        <x:v>Открыть позицию</x:v>
      </x:c>
    </x:row>
    <x:row r="29" ht="28" customHeight="1">
      <x:c r="A29" s="16" t="str">
        <x:v>Беловская ГРЭС</x:v>
      </x:c>
      <x:c r="B29" s="16" t="str">
        <x:v>2000031220-U112</x:v>
      </x:c>
      <x:c r="C29" s="16" t="str">
        <x:v>МОСТ СОПРОТИВЛЕНИЯ Р-333</x:v>
      </x:c>
      <x:c r="D29" s="16" t="str">
        <x:v>Запасные части и принадлежности для приборов КИПиА</x:v>
      </x:c>
      <x:c r="E29" s="16" t="str">
        <x:v>ШТ</x:v>
      </x:c>
      <x:c r="F29" s="21" t="n">
        <x:v>1</x:v>
      </x:c>
      <x:c r="G29" s="17" t="n">
        <x:v>25835.024999999998</x:v>
      </x:c>
      <x:c r="H29" s="17" t="n">
        <x:f>G29*F29</x:f>
        <x:v>25835.024999999998</x:v>
      </x:c>
      <x:c r="I29" s="22" t="str">
        <x:f>HYPERLINK("https://etp-aktiv.ru/catalog/materialy/zapasnye-chasti-i-prinadlezhnosti-dlya-priborov-kipia/2000031220-U112/","Открыть позицию")</x:f>
        <x:v>Открыть позицию</x:v>
      </x:c>
    </x:row>
    <x:row r="30" ht="28" customHeight="1">
      <x:c r="A30" s="16" t="str">
        <x:v>Беловская ГРЭС</x:v>
      </x:c>
      <x:c r="B30" s="16" t="str">
        <x:v>2000379298-U112</x:v>
      </x:c>
      <x:c r="C30" s="16" t="str">
        <x:v>ПЕРЕНОСКА SKRAB 27098 20М 60ВТ</x:v>
      </x:c>
      <x:c r="D30" s="16" t="str">
        <x:v>Осветительная продукция и изделия электроустановочные</x:v>
      </x:c>
      <x:c r="E30" s="16" t="str">
        <x:v>ШТ</x:v>
      </x:c>
      <x:c r="F30" s="21" t="n">
        <x:v>3</x:v>
      </x:c>
      <x:c r="G30" s="17" t="n">
        <x:v>373.3932</x:v>
      </x:c>
      <x:c r="H30" s="17" t="n">
        <x:f>G30*F30</x:f>
        <x:v>1120.1796</x:v>
      </x:c>
      <x:c r="I30" s="22" t="str">
        <x:f>HYPERLINK("https://etp-aktiv.ru/catalog/materialy/ehlektrotekhnicheskie-materialy/2000379298-U112/","Открыть позицию")</x:f>
        <x:v>Открыть позицию</x:v>
      </x:c>
    </x:row>
    <x:row r="31" ht="28" customHeight="1">
      <x:c r="A31" s="16" t="str">
        <x:v>Беловская ГРЭС</x:v>
      </x:c>
      <x:c r="B31" s="16" t="str">
        <x:v>2000548578-U112</x:v>
      </x:c>
      <x:c r="C31" s="16" t="str">
        <x:v>ПЛАСТИНА ФТОРОПЛАСТОВАЯ Ф-4 500*500*3</x:v>
      </x:c>
      <x:c r="D31" s="16" t="str">
        <x:v>Электроизоляционные материалы</x:v>
      </x:c>
      <x:c r="E31" s="16" t="str">
        <x:v>КГ</x:v>
      </x:c>
      <x:c r="F31" s="29" t="n">
        <x:v>18.8</x:v>
      </x:c>
      <x:c r="G31" s="17" t="n">
        <x:v>128.6978</x:v>
      </x:c>
      <x:c r="H31" s="17" t="n">
        <x:f>G31*F31</x:f>
        <x:v>2419.5186400000002</x:v>
      </x:c>
      <x:c r="I31" s="22" t="str">
        <x:f>HYPERLINK("https://etp-aktiv.ru/catalog/materialy/ehlektroizolyacionnye-materialy/2000548578-U112/","Открыть позицию")</x:f>
        <x:v>Открыть позицию</x:v>
      </x:c>
    </x:row>
    <x:row r="32" ht="28" customHeight="1">
      <x:c r="A32" s="16" t="str">
        <x:v>Беловская ГРЭС</x:v>
      </x:c>
      <x:c r="B32" s="16" t="str">
        <x:v>2000548580-U112</x:v>
      </x:c>
      <x:c r="C32" s="16" t="str">
        <x:v>ПЛЕНКА ФТОРОПЛАСТОВАЯ Ф-4 ЭО 0,04*60ММ</x:v>
      </x:c>
      <x:c r="D32" s="16" t="str">
        <x:v>Электроизоляционные материалы</x:v>
      </x:c>
      <x:c r="E32" s="16" t="str">
        <x:v>КГ</x:v>
      </x:c>
      <x:c r="F32" s="29" t="n">
        <x:v>8.35</x:v>
      </x:c>
      <x:c r="G32" s="17" t="n">
        <x:v>1914.0702</x:v>
      </x:c>
      <x:c r="H32" s="17" t="n">
        <x:f>G32*F32</x:f>
        <x:v>15982.48617</x:v>
      </x:c>
      <x:c r="I32" s="22" t="str">
        <x:f>HYPERLINK("https://etp-aktiv.ru/catalog/materialy/ehlektroizolyacionnye-materialy/2000548580-U112/","Открыть позицию")</x:f>
        <x:v>Открыть позицию</x:v>
      </x:c>
    </x:row>
    <x:row r="33" ht="28" customHeight="1">
      <x:c r="A33" s="16" t="str">
        <x:v>Беловская ГРЭС</x:v>
      </x:c>
      <x:c r="B33" s="16" t="str">
        <x:v>2000778382-U112</x:v>
      </x:c>
      <x:c r="C33" s="16" t="str">
        <x:v>ПОЛОТНО ЛАВСАН-ТЕХ-ФТ-350 2,2*200</x:v>
      </x:c>
      <x:c r="D33" s="16" t="str">
        <x:v>Электроизоляционные материалы</x:v>
      </x:c>
      <x:c r="E33" s="16" t="str">
        <x:v>М</x:v>
      </x:c>
      <x:c r="F33" s="29" t="n">
        <x:v>88.2</x:v>
      </x:c>
      <x:c r="G33" s="17" t="n">
        <x:v>250.3928</x:v>
      </x:c>
      <x:c r="H33" s="17" t="n">
        <x:f>G33*F33</x:f>
        <x:v>22084.64496</x:v>
      </x:c>
      <x:c r="I33" s="22" t="str">
        <x:f>HYPERLINK("https://etp-aktiv.ru/catalog/materialy/ehlektroizolyacionnye-materialy/2000778382-U112/","Открыть позицию")</x:f>
        <x:v>Открыть позицию</x:v>
      </x:c>
    </x:row>
    <x:row r="34" ht="28" customHeight="1">
      <x:c r="A34" s="16" t="str">
        <x:v>Беловская ГРЭС</x:v>
      </x:c>
      <x:c r="B34" s="16" t="str">
        <x:v>2000006693-U112</x:v>
      </x:c>
      <x:c r="C34" s="16" t="str">
        <x:v>ПРЕДОХРАНИТЕЛЬ ПКТ-101-10-10-31,5-У3</x:v>
      </x:c>
      <x:c r="D34" s="16" t="str">
        <x:v>Низковольтная аппаратура и запасные части</x:v>
      </x:c>
      <x:c r="E34" s="16" t="str">
        <x:v>ШТ</x:v>
      </x:c>
      <x:c r="F34" s="21" t="n">
        <x:v>3</x:v>
      </x:c>
      <x:c r="G34" s="17" t="n">
        <x:v>147.1076</x:v>
      </x:c>
      <x:c r="H34" s="17" t="n">
        <x:f>G34*F34</x:f>
        <x:v>441.3228</x:v>
      </x:c>
      <x:c r="I34" s="22" t="str">
        <x:f>HYPERLINK("https://etp-aktiv.ru/catalog/materialy/nizkovoltnaya-apparatura-i-zapasnye-chasti/2000006693-U112/","Открыть позицию")</x:f>
        <x:v>Открыть позицию</x:v>
      </x:c>
    </x:row>
    <x:row r="35" ht="28" customHeight="1">
      <x:c r="A35" s="16" t="str">
        <x:v>Беловская ГРЭС</x:v>
      </x:c>
      <x:c r="B35" s="16" t="str">
        <x:v>2000594817-U112</x:v>
      </x:c>
      <x:c r="C35" s="16" t="str">
        <x:v>ПРЕОБРАЗОВАТЕЛЬ ИП44*В*5*70*5</x:v>
      </x:c>
      <x:c r="D35" s="16" t="str">
        <x:v>Запасные части и принадлежности для приборов КИПиА</x:v>
      </x:c>
      <x:c r="E35" s="16" t="str">
        <x:v>ШТ</x:v>
      </x:c>
      <x:c r="F35" s="21" t="n">
        <x:v>1</x:v>
      </x:c>
      <x:c r="G35" s="17" t="n">
        <x:v>29280</x:v>
      </x:c>
      <x:c r="H35" s="17" t="n">
        <x:f>G35*F35</x:f>
        <x:v>29280</x:v>
      </x:c>
      <x:c r="I35" s="22" t="str">
        <x:f>HYPERLINK("https://etp-aktiv.ru/catalog/materialy/zapasnye-chasti-i-prinadlezhnosti-dlya-priborov-kipia/2000594817-U112/","Открыть позицию")</x:f>
        <x:v>Открыть позицию</x:v>
      </x:c>
    </x:row>
    <x:row r="36" ht="28" customHeight="1">
      <x:c r="A36" s="16" t="str">
        <x:v>Беловская ГРЭС</x:v>
      </x:c>
      <x:c r="B36" s="16" t="str">
        <x:v>2000036379-U112</x:v>
      </x:c>
      <x:c r="C36" s="16" t="str">
        <x:v>ПУСКАТЕЛЬ ПМА-3202 380В</x:v>
      </x:c>
      <x:c r="D36" s="16" t="str">
        <x:v>Низковольтная аппаратура и запасные части</x:v>
      </x:c>
      <x:c r="E36" s="16" t="str">
        <x:v>ШТ</x:v>
      </x:c>
      <x:c r="F36" s="21" t="n">
        <x:v>1</x:v>
      </x:c>
      <x:c r="G36" s="17" t="n">
        <x:v>1325.835</x:v>
      </x:c>
      <x:c r="H36" s="17" t="n">
        <x:f>G36*F36</x:f>
        <x:v>1325.835</x:v>
      </x:c>
      <x:c r="I36" s="22" t="str">
        <x:f>HYPERLINK("https://etp-aktiv.ru/catalog/materialy/nizkovoltnaya-apparatura-i-zapasnye-chasti/2000036379-U112/","Открыть позицию")</x:f>
        <x:v>Открыть позицию</x:v>
      </x:c>
    </x:row>
    <x:row r="37" ht="28" customHeight="1">
      <x:c r="A37" s="16" t="str">
        <x:v>Беловская ГРЭС</x:v>
      </x:c>
      <x:c r="B37" s="16" t="str">
        <x:v>2000138512-U112</x:v>
      </x:c>
      <x:c r="C37" s="16" t="str">
        <x:v>ПУСКАТЕЛЬ ПМЕ-073 220В 4А</x:v>
      </x:c>
      <x:c r="D37" s="16" t="str">
        <x:v>Низковольтная аппаратура и запасные части</x:v>
      </x:c>
      <x:c r="E37" s="16" t="str">
        <x:v>ШТ</x:v>
      </x:c>
      <x:c r="F37" s="21" t="n">
        <x:v>5</x:v>
      </x:c>
      <x:c r="G37" s="17" t="n">
        <x:v>197.64</x:v>
      </x:c>
      <x:c r="H37" s="17" t="n">
        <x:f>G37*F37</x:f>
        <x:v>988.1999999999999</x:v>
      </x:c>
      <x:c r="I37" s="22" t="str">
        <x:f>HYPERLINK("https://etp-aktiv.ru/catalog/materialy/nizkovoltnaya-apparatura-i-zapasnye-chasti/2000138512-U112/","Открыть позицию")</x:f>
        <x:v>Открыть позицию</x:v>
      </x:c>
    </x:row>
    <x:row r="38" ht="28" customHeight="1">
      <x:c r="A38" s="16" t="str">
        <x:v>Беловская ГРЭС</x:v>
      </x:c>
      <x:c r="B38" s="16" t="str">
        <x:v>2000535853-U112</x:v>
      </x:c>
      <x:c r="C38" s="16" t="str">
        <x:v>РЕЛЕ КОНТРОЛЯ ТОКА CM-SRS.11S 24-240В</x:v>
      </x:c>
      <x:c r="D38" s="16" t="str">
        <x:v>Низковольтная аппаратура и запасные части</x:v>
      </x:c>
      <x:c r="E38" s="16" t="str">
        <x:v>ШТ</x:v>
      </x:c>
      <x:c r="F38" s="21" t="n">
        <x:v>1</x:v>
      </x:c>
      <x:c r="G38" s="17" t="n">
        <x:v>1134.295</x:v>
      </x:c>
      <x:c r="H38" s="17" t="n">
        <x:f>G38*F38</x:f>
        <x:v>1134.295</x:v>
      </x:c>
      <x:c r="I38" s="22" t="str">
        <x:f>HYPERLINK("https://etp-aktiv.ru/catalog/materialy/nizkovoltnaya-apparatura-i-zapasnye-chasti/2000535853-U112/","Открыть позицию")</x:f>
        <x:v>Открыть позицию</x:v>
      </x:c>
    </x:row>
    <x:row r="39" ht="28" customHeight="1">
      <x:c r="A39" s="16" t="str">
        <x:v>Беловская ГРЭС</x:v>
      </x:c>
      <x:c r="B39" s="16" t="str">
        <x:v>M2000078579-U112</x:v>
      </x:c>
      <x:c r="C39" s="16" t="str">
        <x:v>РЕЛЕ РЭВ-818 УХЛ4 220В</x:v>
      </x:c>
      <x:c r="D39" s="16" t="str">
        <x:v>Низковольтная аппаратура и запасные части</x:v>
      </x:c>
      <x:c r="E39" s="16" t="str">
        <x:v>ШТ</x:v>
      </x:c>
      <x:c r="F39" s="21" t="n">
        <x:v>2</x:v>
      </x:c>
      <x:c r="G39" s="17" t="n">
        <x:v>376.37</x:v>
      </x:c>
      <x:c r="H39" s="17" t="n">
        <x:f>G39*F39</x:f>
        <x:v>752.74</x:v>
      </x:c>
      <x:c r="I39" s="22" t="str">
        <x:f>HYPERLINK("https://etp-aktiv.ru/catalog/materialy/nizkovoltnaya-apparatura-i-zapasnye-chasti/M2000078579-U112/","Открыть позицию")</x:f>
        <x:v>Открыть позицию</x:v>
      </x:c>
    </x:row>
    <x:row r="40" ht="28" customHeight="1">
      <x:c r="A40" s="16" t="str">
        <x:v>Беловская ГРЭС</x:v>
      </x:c>
      <x:c r="B40" s="16" t="str">
        <x:v>2000980563-U112</x:v>
      </x:c>
      <x:c r="C40" s="16" t="str">
        <x:v>РЕЛЕ РЭП-36-13 3З П/П 220В 1А</x:v>
      </x:c>
      <x:c r="D40" s="16" t="str">
        <x:v>Низковольтная аппаратура и запасные части</x:v>
      </x:c>
      <x:c r="E40" s="16" t="str">
        <x:v>ШТ</x:v>
      </x:c>
      <x:c r="F40" s="21" t="n">
        <x:v>4</x:v>
      </x:c>
      <x:c r="G40" s="17" t="n">
        <x:v>2991.8548</x:v>
      </x:c>
      <x:c r="H40" s="17" t="n">
        <x:f>G40*F40</x:f>
        <x:v>11967.4192</x:v>
      </x:c>
      <x:c r="I40" s="22" t="str">
        <x:f>HYPERLINK("https://etp-aktiv.ru/catalog/materialy/nizkovoltnaya-apparatura-i-zapasnye-chasti/2000980563-U112/","Открыть позицию")</x:f>
        <x:v>Открыть позицию</x:v>
      </x:c>
    </x:row>
    <x:row r="41" ht="28" customHeight="1">
      <x:c r="A41" s="16" t="str">
        <x:v>Беловская ГРЭС</x:v>
      </x:c>
      <x:c r="B41" s="16" t="str">
        <x:v>2000981360-U112</x:v>
      </x:c>
      <x:c r="C41" s="16" t="str">
        <x:v>РЕЛЕ РЭП37-121 ПП 0,15-2С УХЛ4 48В 2З+3Р</x:v>
      </x:c>
      <x:c r="D41" s="16" t="str">
        <x:v>Низковольтная аппаратура и запасные части</x:v>
      </x:c>
      <x:c r="E41" s="16" t="str">
        <x:v>ШТ</x:v>
      </x:c>
      <x:c r="F41" s="21" t="n">
        <x:v>1</x:v>
      </x:c>
      <x:c r="G41" s="17" t="n">
        <x:v>4450.1452</x:v>
      </x:c>
      <x:c r="H41" s="17" t="n">
        <x:f>G41*F41</x:f>
        <x:v>4450.1452</x:v>
      </x:c>
      <x:c r="I41" s="22" t="str">
        <x:f>HYPERLINK("https://etp-aktiv.ru/catalog/materialy/nizkovoltnaya-apparatura-i-zapasnye-chasti/2000981360-U112/","Открыть позицию")</x:f>
        <x:v>Открыть позицию</x:v>
      </x:c>
    </x:row>
    <x:row r="42" ht="28" customHeight="1">
      <x:c r="A42" s="16" t="str">
        <x:v>Беловская ГРЭС</x:v>
      </x:c>
      <x:c r="B42" s="16" t="str">
        <x:v>2000980581-U112</x:v>
      </x:c>
      <x:c r="C42" s="16" t="str">
        <x:v>РЕЛЕ РЭП37-131 2З+3Р П/П 48В</x:v>
      </x:c>
      <x:c r="D42" s="16" t="str">
        <x:v>Низковольтная аппаратура и запасные части</x:v>
      </x:c>
      <x:c r="E42" s="16" t="str">
        <x:v>ШТ</x:v>
      </x:c>
      <x:c r="F42" s="21" t="n">
        <x:v>1</x:v>
      </x:c>
      <x:c r="G42" s="17" t="n">
        <x:v>3394.0766000000003</x:v>
      </x:c>
      <x:c r="H42" s="17" t="n">
        <x:f>G42*F42</x:f>
        <x:v>3394.0766000000003</x:v>
      </x:c>
      <x:c r="I42" s="22" t="str">
        <x:f>HYPERLINK("https://etp-aktiv.ru/catalog/materialy/nizkovoltnaya-apparatura-i-zapasnye-chasti/2000980581-U112/","Открыть позицию")</x:f>
        <x:v>Открыть позицию</x:v>
      </x:c>
    </x:row>
    <x:row r="43" ht="28" customHeight="1">
      <x:c r="A43" s="16" t="str">
        <x:v>Беловская ГРЭС</x:v>
      </x:c>
      <x:c r="B43" s="16" t="str">
        <x:v>2000650767-U112</x:v>
      </x:c>
      <x:c r="C43" s="16" t="str">
        <x:v>СВЕТИЛЬНИК ПЕРЕНОСНОЙ ЛСУ-1 ПВС 15М Е27</x:v>
      </x:c>
      <x:c r="D43" s="16" t="str">
        <x:v>Осветительная продукция и изделия электроустановочные</x:v>
      </x:c>
      <x:c r="E43" s="16" t="str">
        <x:v>ШТ</x:v>
      </x:c>
      <x:c r="F43" s="21" t="n">
        <x:v>11</x:v>
      </x:c>
      <x:c r="G43" s="17" t="n">
        <x:v>695.0096</x:v>
      </x:c>
      <x:c r="H43" s="17" t="n">
        <x:f>G43*F43</x:f>
        <x:v>7645.1056</x:v>
      </x:c>
      <x:c r="I43" s="22" t="str">
        <x:f>HYPERLINK("https://etp-aktiv.ru/catalog/materialy/ehlektrotekhnicheskie-materialy/2000650767-U112/","Открыть позицию")</x:f>
        <x:v>Открыть позицию</x:v>
      </x:c>
    </x:row>
    <x:row r="44" ht="28" customHeight="1">
      <x:c r="A44" s="16" t="str">
        <x:v>Беловская ГРЭС</x:v>
      </x:c>
      <x:c r="B44" s="16" t="str">
        <x:v>2000040987-U112</x:v>
      </x:c>
      <x:c r="C44" s="16" t="str">
        <x:v>СТ/ТЕКСТОЛИТ ЛИСТ СТЭФ 3ММ ГОСТ12652</x:v>
      </x:c>
      <x:c r="D44" s="16" t="str">
        <x:v>Электроизоляционные материалы</x:v>
      </x:c>
      <x:c r="E44" s="16" t="str">
        <x:v>КГ</x:v>
      </x:c>
      <x:c r="F44" s="29" t="n">
        <x:v>22.92</x:v>
      </x:c>
      <x:c r="G44" s="17" t="n">
        <x:v>153.9518</x:v>
      </x:c>
      <x:c r="H44" s="17" t="n">
        <x:f>G44*F44</x:f>
        <x:v>3528.575256</x:v>
      </x:c>
      <x:c r="I44" s="22" t="str">
        <x:f>HYPERLINK("https://etp-aktiv.ru/catalog/materialy/ehlektroizolyacionnye-materialy/2000040987-U112/","Открыть позицию")</x:f>
        <x:v>Открыть позицию</x:v>
      </x:c>
    </x:row>
    <x:row r="45" ht="28" customHeight="1">
      <x:c r="A45" s="16" t="str">
        <x:v>Беловская ГРЭС</x:v>
      </x:c>
      <x:c r="B45" s="16" t="str">
        <x:v>2000068885-U112</x:v>
      </x:c>
      <x:c r="C45" s="16" t="str">
        <x:v>СТ/ТЕКСТОЛИТ ЛИСТ СТЭФ-У 10ММ</x:v>
      </x:c>
      <x:c r="D45" s="16" t="str">
        <x:v>Электроизоляционные материалы</x:v>
      </x:c>
      <x:c r="E45" s="16" t="str">
        <x:v>КГ</x:v>
      </x:c>
      <x:c r="F45" s="29" t="n">
        <x:v>256.2</x:v>
      </x:c>
      <x:c r="G45" s="17" t="n">
        <x:v>147.2662</x:v>
      </x:c>
      <x:c r="H45" s="17" t="n">
        <x:f>G45*F45</x:f>
        <x:v>37729.600439999995</x:v>
      </x:c>
      <x:c r="I45" s="22" t="str">
        <x:f>HYPERLINK("https://etp-aktiv.ru/catalog/materialy/ehlektroizolyacionnye-materialy/2000068885-U112/","Открыть позицию")</x:f>
        <x:v>Открыть позицию</x:v>
      </x:c>
    </x:row>
    <x:row r="46" ht="28" customHeight="1">
      <x:c r="A46" s="16" t="str">
        <x:v>Беловская ГРЭС</x:v>
      </x:c>
      <x:c r="B46" s="16" t="str">
        <x:v>2000548601-U112</x:v>
      </x:c>
      <x:c r="C46" s="16" t="str">
        <x:v>СТ/ТЕКСТОЛИТ СТЭФ-1 3,0ММ</x:v>
      </x:c>
      <x:c r="D46" s="16" t="str">
        <x:v>Электроизоляционные материалы</x:v>
      </x:c>
      <x:c r="E46" s="16" t="str">
        <x:v>КГ</x:v>
      </x:c>
      <x:c r="F46" s="29" t="n">
        <x:v>146.9</x:v>
      </x:c>
      <x:c r="G46" s="17" t="n">
        <x:v>125.7332</x:v>
      </x:c>
      <x:c r="H46" s="17" t="n">
        <x:f>G46*F46</x:f>
        <x:v>18470.20708</x:v>
      </x:c>
      <x:c r="I46" s="22" t="str">
        <x:f>HYPERLINK("https://etp-aktiv.ru/catalog/materialy/ehlektroizolyacionnye-materialy/2000548601-U112/","Открыть позицию")</x:f>
        <x:v>Открыть позицию</x:v>
      </x:c>
    </x:row>
    <x:row r="47" ht="28" customHeight="1">
      <x:c r="A47" s="16" t="str">
        <x:v>Беловская ГРЭС</x:v>
      </x:c>
      <x:c r="B47" s="16" t="str">
        <x:v>2000248486-U112</x:v>
      </x:c>
      <x:c r="C47" s="16" t="str">
        <x:v>СТ/ТЕКСТОЛИТ СТЭФ-ПВ 0,4ММ ТУ16-503</x:v>
      </x:c>
      <x:c r="D47" s="16" t="str">
        <x:v>Электроизоляционные материалы</x:v>
      </x:c>
      <x:c r="E47" s="16" t="str">
        <x:v>КГ</x:v>
      </x:c>
      <x:c r="F47" s="29" t="n">
        <x:v>22.52</x:v>
      </x:c>
      <x:c r="G47" s="17" t="n">
        <x:v>6190.560599999999</x:v>
      </x:c>
      <x:c r="H47" s="17" t="n">
        <x:f>G47*F47</x:f>
        <x:v>139411.42471199998</x:v>
      </x:c>
      <x:c r="I47" s="22" t="str">
        <x:f>HYPERLINK("https://etp-aktiv.ru/catalog/materialy/ehlektroizolyacionnye-materialy/2000248486-U112/","Открыть позицию")</x:f>
        <x:v>Открыть позицию</x:v>
      </x:c>
    </x:row>
    <x:row r="48" ht="28" customHeight="1">
      <x:c r="A48" s="16" t="str">
        <x:v>Беловская ГРЭС</x:v>
      </x:c>
      <x:c r="B48" s="16" t="str">
        <x:v>2000603884-U112</x:v>
      </x:c>
      <x:c r="C48" s="16" t="str">
        <x:v>СТ/ТЕКСТОЛИТ СТЭФ-ПВ 0,6ММ</x:v>
      </x:c>
      <x:c r="D48" s="16" t="str">
        <x:v>Электроизоляционные материалы</x:v>
      </x:c>
      <x:c r="E48" s="16" t="str">
        <x:v>КГ</x:v>
      </x:c>
      <x:c r="F48" s="29" t="n">
        <x:v>7.34</x:v>
      </x:c>
      <x:c r="G48" s="17" t="n">
        <x:v>6222</x:v>
      </x:c>
      <x:c r="H48" s="17" t="n">
        <x:f>G48*F48</x:f>
        <x:v>45669.479999999996</x:v>
      </x:c>
      <x:c r="I48" s="22" t="str">
        <x:f>HYPERLINK("https://etp-aktiv.ru/catalog/materialy/ehlektroizolyacionnye-materialy/2000603884-U112/","Открыть позицию")</x:f>
        <x:v>Открыть позицию</x:v>
      </x:c>
    </x:row>
    <x:row r="49" ht="28" customHeight="1">
      <x:c r="A49" s="16" t="str">
        <x:v>Беловская ГРЭС</x:v>
      </x:c>
      <x:c r="B49" s="16" t="str">
        <x:v>2000603885-U112</x:v>
      </x:c>
      <x:c r="C49" s="16" t="str">
        <x:v>СТ/ТЕКСТОЛИТ СТЭФ-ПВ 0,8ММ</x:v>
      </x:c>
      <x:c r="D49" s="16" t="str">
        <x:v>Электроизоляционные материалы</x:v>
      </x:c>
      <x:c r="E49" s="16" t="str">
        <x:v>КГ</x:v>
      </x:c>
      <x:c r="F49" s="29" t="n">
        <x:v>35.2</x:v>
      </x:c>
      <x:c r="G49" s="17" t="n">
        <x:v>6222</x:v>
      </x:c>
      <x:c r="H49" s="17" t="n">
        <x:f>G49*F49</x:f>
        <x:v>219014.40000000002</x:v>
      </x:c>
      <x:c r="I49" s="22" t="str">
        <x:f>HYPERLINK("https://etp-aktiv.ru/catalog/materialy/ehlektroizolyacionnye-materialy/2000603885-U112/","Открыть позицию")</x:f>
        <x:v>Открыть позицию</x:v>
      </x:c>
    </x:row>
    <x:row r="50" ht="28" customHeight="1">
      <x:c r="A50" s="16" t="str">
        <x:v>Беловская ГРЭС</x:v>
      </x:c>
      <x:c r="B50" s="16" t="str">
        <x:v>2000548605-U112</x:v>
      </x:c>
      <x:c r="C50" s="16" t="str">
        <x:v>СТ/ТЕКСТОЛИТ СТЭФ-У 0,5ММ</x:v>
      </x:c>
      <x:c r="D50" s="16" t="str">
        <x:v>Электроизоляционные материалы</x:v>
      </x:c>
      <x:c r="E50" s="16" t="str">
        <x:v>КГ</x:v>
      </x:c>
      <x:c r="F50" s="29" t="n">
        <x:v>46.82</x:v>
      </x:c>
      <x:c r="G50" s="17" t="n">
        <x:v>213.9758</x:v>
      </x:c>
      <x:c r="H50" s="17" t="n">
        <x:f>G50*F50</x:f>
        <x:v>10018.346956</x:v>
      </x:c>
      <x:c r="I50" s="22" t="str">
        <x:f>HYPERLINK("https://etp-aktiv.ru/catalog/materialy/ehlektroizolyacionnye-materialy/2000548605-U112/","Открыть позицию")</x:f>
        <x:v>Открыть позицию</x:v>
      </x:c>
    </x:row>
    <x:row r="51" ht="28" customHeight="1">
      <x:c r="A51" s="16" t="str">
        <x:v>Беловская ГРЭС</x:v>
      </x:c>
      <x:c r="B51" s="16" t="str">
        <x:v>2000548609-U112</x:v>
      </x:c>
      <x:c r="C51" s="16" t="str">
        <x:v>СТ/ТЕКСТОЛИТ СТЭФ-У 3,0ММ</x:v>
      </x:c>
      <x:c r="D51" s="16" t="str">
        <x:v>Электроизоляционные материалы</x:v>
      </x:c>
      <x:c r="E51" s="16" t="str">
        <x:v>КГ</x:v>
      </x:c>
      <x:c r="F51" s="29" t="n">
        <x:v>7.5</x:v>
      </x:c>
      <x:c r="G51" s="17" t="n">
        <x:v>160.8082</x:v>
      </x:c>
      <x:c r="H51" s="17" t="n">
        <x:f>G51*F51</x:f>
        <x:v>1206.0615</x:v>
      </x:c>
      <x:c r="I51" s="22" t="str">
        <x:f>HYPERLINK("https://etp-aktiv.ru/catalog/materialy/ehlektroizolyacionnye-materialy/2000548609-U112/","Открыть позицию")</x:f>
        <x:v>Открыть позицию</x:v>
      </x:c>
    </x:row>
    <x:row r="52" ht="28" customHeight="1">
      <x:c r="A52" s="16" t="str">
        <x:v>Беловская ГРЭС</x:v>
      </x:c>
      <x:c r="B52" s="16" t="str">
        <x:v>2000548608-U112</x:v>
      </x:c>
      <x:c r="C52" s="16" t="str">
        <x:v>СТ/ТЕКСТОЛИТ СТЭФ-У 35ММ</x:v>
      </x:c>
      <x:c r="D52" s="16" t="str">
        <x:v>Электроизоляционные материалы</x:v>
      </x:c>
      <x:c r="E52" s="16" t="str">
        <x:v>КГ</x:v>
      </x:c>
      <x:c r="F52" s="21" t="n">
        <x:v>4</x:v>
      </x:c>
      <x:c r="G52" s="17" t="n">
        <x:v>294.6178</x:v>
      </x:c>
      <x:c r="H52" s="17" t="n">
        <x:f>G52*F52</x:f>
        <x:v>1178.4712</x:v>
      </x:c>
      <x:c r="I52" s="22" t="str">
        <x:f>HYPERLINK("https://etp-aktiv.ru/catalog/materialy/ehlektroizolyacionnye-materialy/2000548608-U112/","Открыть позицию")</x:f>
        <x:v>Открыть позицию</x:v>
      </x:c>
    </x:row>
    <x:row r="53" ht="28" customHeight="1">
      <x:c r="A53" s="16" t="str">
        <x:v>Беловская ГРЭС</x:v>
      </x:c>
      <x:c r="B53" s="16" t="str">
        <x:v>2000548629-U112</x:v>
      </x:c>
      <x:c r="C53" s="16" t="str">
        <x:v>СТЕРЖЕНЬ ФТОРОПЛАСТ Ф-4 40*600ММ</x:v>
      </x:c>
      <x:c r="D53" s="16" t="str">
        <x:v>Электроизоляционные материалы</x:v>
      </x:c>
      <x:c r="E53" s="16" t="str">
        <x:v>КГ</x:v>
      </x:c>
      <x:c r="F53" s="21" t="n">
        <x:v>6</x:v>
      </x:c>
      <x:c r="G53" s="17" t="n">
        <x:v>656.9334</x:v>
      </x:c>
      <x:c r="H53" s="17" t="n">
        <x:f>G53*F53</x:f>
        <x:v>3941.6004000000003</x:v>
      </x:c>
      <x:c r="I53" s="22" t="str">
        <x:f>HYPERLINK("https://etp-aktiv.ru/catalog/materialy/ehlektroizolyacionnye-materialy/2000548629-U112/","Открыть позицию")</x:f>
        <x:v>Открыть позицию</x:v>
      </x:c>
    </x:row>
    <x:row r="54" ht="28" customHeight="1">
      <x:c r="A54" s="16" t="str">
        <x:v>Беловская ГРЭС</x:v>
      </x:c>
      <x:c r="B54" s="16" t="str">
        <x:v>2000284160-U112</x:v>
      </x:c>
      <x:c r="C54" s="16" t="str">
        <x:v>ТЕКСТОЛИТ Б 20ММ</x:v>
      </x:c>
      <x:c r="D54" s="16" t="str">
        <x:v>Электроизоляционные материалы</x:v>
      </x:c>
      <x:c r="E54" s="16" t="str">
        <x:v>КГ</x:v>
      </x:c>
      <x:c r="F54" s="29" t="n">
        <x:v>34.1</x:v>
      </x:c>
      <x:c r="G54" s="17" t="n">
        <x:v>269.9982</x:v>
      </x:c>
      <x:c r="H54" s="17" t="n">
        <x:f>G54*F54</x:f>
        <x:v>9206.93862</x:v>
      </x:c>
      <x:c r="I54" s="22" t="str">
        <x:f>HYPERLINK("https://etp-aktiv.ru/catalog/materialy/ehlektroizolyacionnye-materialy/2000284160-U112/","Открыть позицию")</x:f>
        <x:v>Открыть позицию</x:v>
      </x:c>
    </x:row>
    <x:row r="55" ht="28" customHeight="1">
      <x:c r="A55" s="16" t="str">
        <x:v>Беловская ГРЭС</x:v>
      </x:c>
      <x:c r="B55" s="16" t="str">
        <x:v>2000068908-U112</x:v>
      </x:c>
      <x:c r="C55" s="16" t="str">
        <x:v>ТЕКСТОЛИТ Б 40ММ</x:v>
      </x:c>
      <x:c r="D55" s="16" t="str">
        <x:v>Электроизоляционные материалы</x:v>
      </x:c>
      <x:c r="E55" s="16" t="str">
        <x:v>КГ</x:v>
      </x:c>
      <x:c r="F55" s="29" t="n">
        <x:v>66.8</x:v>
      </x:c>
      <x:c r="G55" s="17" t="n">
        <x:v>266.7774</x:v>
      </x:c>
      <x:c r="H55" s="17" t="n">
        <x:f>G55*F55</x:f>
        <x:v>17820.73032</x:v>
      </x:c>
      <x:c r="I55" s="22" t="str">
        <x:f>HYPERLINK("https://etp-aktiv.ru/catalog/materialy/ehlektroizolyacionnye-materialy/2000068908-U112/","Открыть позицию")</x:f>
        <x:v>Открыть позицию</x:v>
      </x:c>
    </x:row>
    <x:row r="56" ht="28" customHeight="1">
      <x:c r="A56" s="16" t="str">
        <x:v>Беловская ГРЭС</x:v>
      </x:c>
      <x:c r="B56" s="16" t="str">
        <x:v>2000726918-U112</x:v>
      </x:c>
      <x:c r="C56" s="16" t="str">
        <x:v>ТОРМОЗ МЕХАНИЧ МЭО-10000/63-0,25 97К</x:v>
      </x:c>
      <x:c r="D56" s="16" t="str">
        <x:v>Запасные части и принадлежности для приборов КИПиА</x:v>
      </x:c>
      <x:c r="E56" s="16" t="str">
        <x:v>ШТ</x:v>
      </x:c>
      <x:c r="F56" s="21" t="n">
        <x:v>2</x:v>
      </x:c>
      <x:c r="G56" s="17" t="n">
        <x:v>23030.55</x:v>
      </x:c>
      <x:c r="H56" s="17" t="n">
        <x:f>G56*F56</x:f>
        <x:v>46061.1</x:v>
      </x:c>
      <x:c r="I56" s="22" t="str">
        <x:f>HYPERLINK("https://etp-aktiv.ru/catalog/materialy/zapasnye-chasti-i-prinadlezhnosti-dlya-priborov-kipia/2000726918-U112/","Открыть позицию")</x:f>
        <x:v>Открыть позицию</x:v>
      </x:c>
    </x:row>
    <x:row r="57" ht="28" customHeight="1">
      <x:c r="A57" s="16" t="str">
        <x:v>Беловская ГРЭС</x:v>
      </x:c>
      <x:c r="B57" s="16" t="str">
        <x:v>2000861481-U112</x:v>
      </x:c>
      <x:c r="C57" s="16" t="str">
        <x:v>УСТРОЙСТВО LV432520 COMPACT NSX 400/630</x:v>
      </x:c>
      <x:c r="D57" s="16" t="str">
        <x:v>Запасные части к выключателям</x:v>
      </x:c>
      <x:c r="E57" s="16" t="str">
        <x:v>ШТ</x:v>
      </x:c>
      <x:c r="F57" s="21" t="n">
        <x:v>1</x:v>
      </x:c>
      <x:c r="G57" s="17" t="n">
        <x:v>2602.9798</x:v>
      </x:c>
      <x:c r="H57" s="17" t="n">
        <x:f>G57*F57</x:f>
        <x:v>2602.9798</x:v>
      </x:c>
      <x:c r="I57" s="22" t="str">
        <x:f>HYPERLINK("https://etp-aktiv.ru/catalog/materialy/ehlektrotekhnicheskie-materialy/2000861481-U112/","Открыть позицию")</x:f>
        <x:v>Открыть позицию</x:v>
      </x:c>
    </x:row>
    <x:row r="58" ht="28" customHeight="1">
      <x:c r="A58" s="16" t="str">
        <x:v>Беловская ГРЭС</x:v>
      </x:c>
      <x:c r="B58" s="16" t="str">
        <x:v>2000683475-U112</x:v>
      </x:c>
      <x:c r="C58" s="16" t="str">
        <x:v>УСТРОЙСТВО ИМП ЗАЖИГАТ ИЗУ-0-1000 220В</x:v>
      </x:c>
      <x:c r="D58" s="16" t="str">
        <x:v>Запасные части и принадлежности для приборов КИПиА</x:v>
      </x:c>
      <x:c r="E58" s="16" t="str">
        <x:v>ШТ</x:v>
      </x:c>
      <x:c r="F58" s="21" t="n">
        <x:v>9</x:v>
      </x:c>
      <x:c r="G58" s="17" t="n">
        <x:v>211.73100000000002</x:v>
      </x:c>
      <x:c r="H58" s="17" t="n">
        <x:f>G58*F58</x:f>
        <x:v>1905.5790000000002</x:v>
      </x:c>
      <x:c r="I58" s="22" t="str">
        <x:f>HYPERLINK("https://etp-aktiv.ru/catalog/materialy/zapasnye-chasti-i-prinadlezhnosti-dlya-priborov-kipia/2000683475-U112/","Открыть позицию")</x:f>
        <x:v>Открыть позицию</x:v>
      </x:c>
    </x:row>
    <x:row r="59" ht="28" customHeight="1">
      <x:c r="A59" s="16" t="str">
        <x:v>Беловская ГРЭС</x:v>
      </x:c>
      <x:c r="B59" s="16" t="str">
        <x:v>2000551991-U112</x:v>
      </x:c>
      <x:c r="C59" s="16" t="str">
        <x:v>Э/ДВИГ 4АМ200М2 37/380/3000/IM1001</x:v>
      </x:c>
      <x:c r="D59" s="16" t="str">
        <x:v>Электродвигатели</x:v>
      </x:c>
      <x:c r="E59" s="16" t="str">
        <x:v>ШТ</x:v>
      </x:c>
      <x:c r="F59" s="21" t="n">
        <x:v>1</x:v>
      </x:c>
      <x:c r="G59" s="17" t="n">
        <x:v>9150</x:v>
      </x:c>
      <x:c r="H59" s="17" t="n">
        <x:f>G59*F59</x:f>
        <x:v>9150</x:v>
      </x:c>
      <x:c r="I59" s="22" t="str">
        <x:f>HYPERLINK("https://etp-aktiv.ru/catalog/materialy/ehlektrodvigateli/2000551991-U112/","Открыть позицию")</x:f>
        <x:v>Открыть позицию</x:v>
      </x:c>
    </x:row>
    <x:row r="60" ht="28" customHeight="1">
      <x:c r="A60" s="16" t="str">
        <x:v>Беловская ГРЭС</x:v>
      </x:c>
      <x:c r="B60" s="16" t="str">
        <x:v>2000562175-U112</x:v>
      </x:c>
      <x:c r="C60" s="16" t="str">
        <x:v>Э/ДВИГ АИР90L2 3/380/3000 IM1081</x:v>
      </x:c>
      <x:c r="D60" s="16" t="str">
        <x:v>Электродвигатели</x:v>
      </x:c>
      <x:c r="E60" s="16" t="str">
        <x:v>ШТ</x:v>
      </x:c>
      <x:c r="F60" s="21" t="n">
        <x:v>1</x:v>
      </x:c>
      <x:c r="G60" s="17" t="n">
        <x:v>2337.0686</x:v>
      </x:c>
      <x:c r="H60" s="17" t="n">
        <x:f>G60*F60</x:f>
        <x:v>2337.0686</x:v>
      </x:c>
      <x:c r="I60" s="22" t="str">
        <x:f>HYPERLINK("https://etp-aktiv.ru/catalog/materialy/ehlektrodvigateli/2000562175-U112/","Открыть позицию")</x:f>
        <x:v>Открыть позицию</x:v>
      </x:c>
    </x:row>
    <x:row r="61" ht="28" customHeight="1">
      <x:c r="A61" s="16" t="str">
        <x:v>Беловская ГРЭС</x:v>
      </x:c>
      <x:c r="B61" s="16" t="str">
        <x:v>2000610898-U112</x:v>
      </x:c>
      <x:c r="C61" s="16" t="str">
        <x:v>Э/Щ SCHUNK E104 20*32*64 103.112.115.006</x:v>
      </x:c>
      <x:c r="D61" s="16" t="str">
        <x:v>Электрощетки</x:v>
      </x:c>
      <x:c r="E61" s="16" t="str">
        <x:v>ШТ</x:v>
      </x:c>
      <x:c r="F61" s="21" t="n">
        <x:v>157</x:v>
      </x:c>
      <x:c r="G61" s="17" t="n">
        <x:v>1479.4818</x:v>
      </x:c>
      <x:c r="H61" s="17" t="n">
        <x:f>G61*F61</x:f>
        <x:v>232278.6426</x:v>
      </x:c>
      <x:c r="I61" s="22" t="str">
        <x:f>HYPERLINK("https://etp-aktiv.ru/catalog/materialy/ehlektrotekhnicheskie-materialy/2000610898-U112/","Открыть позицию")</x:f>
        <x:v>Открыть позицию</x:v>
      </x:c>
    </x:row>
    <x:row r="62" ht="28" customHeight="1">
      <x:c r="A62" s="16" t="str">
        <x:v>Беловская ГРЭС</x:v>
      </x:c>
      <x:c r="B62" s="16" t="str">
        <x:v>2000858033-U112</x:v>
      </x:c>
      <x:c r="C62" s="16" t="str">
        <x:v>Э/ЩЕТКА 103_112_107_046_SK1 32*32*64</x:v>
      </x:c>
      <x:c r="D62" s="16" t="str">
        <x:v>Электрощетки</x:v>
      </x:c>
      <x:c r="E62" s="16" t="str">
        <x:v>ШТ</x:v>
      </x:c>
      <x:c r="F62" s="21" t="n">
        <x:v>84</x:v>
      </x:c>
      <x:c r="G62" s="17" t="n">
        <x:v>3314.5936</x:v>
      </x:c>
      <x:c r="H62" s="17" t="n">
        <x:f>G62*F62</x:f>
        <x:v>278425.8624</x:v>
      </x:c>
      <x:c r="I62" s="22" t="str">
        <x:f>HYPERLINK("https://etp-aktiv.ru/catalog/materialy/ehlektrotekhnicheskie-materialy/2000858033-U112/","Открыть позицию")</x:f>
        <x:v>Открыть позицию</x:v>
      </x:c>
    </x:row>
    <x:row r="63" ht="28" customHeight="1">
      <x:c r="A63" s="16" t="str">
        <x:v>Беловская ГРЭС</x:v>
      </x:c>
      <x:c r="B63" s="16" t="str">
        <x:v>2000560005-U112</x:v>
      </x:c>
      <x:c r="C63" s="16" t="str">
        <x:v>ЭЛЕКТРОД СТЕКЛЯННЫЙ ЭСЛ-43-07</x:v>
      </x:c>
      <x:c r="D63" s="16" t="str">
        <x:v>Запасные части и принадлежности для приборов КИПиА</x:v>
      </x:c>
      <x:c r="E63" s="16" t="str">
        <x:v>ШТ</x:v>
      </x:c>
      <x:c r="F63" s="21" t="n">
        <x:v>30</x:v>
      </x:c>
      <x:c r="G63" s="17" t="n">
        <x:v>1925.0502000000001</x:v>
      </x:c>
      <x:c r="H63" s="17" t="n">
        <x:f>G63*F63</x:f>
        <x:v>57751.506</x:v>
      </x:c>
      <x:c r="I63" s="22" t="str">
        <x:f>HYPERLINK("https://etp-aktiv.ru/catalog/materialy/zapasnye-chasti-i-prinadlezhnosti-dlya-priborov-kipia/2000560005-U112/","Открыть позицию")</x:f>
        <x:v>Открыть позицию</x:v>
      </x:c>
    </x:row>
    <x:row r="64" ht="28" customHeight="1">
      <x:c r="A64" s="16" t="str">
        <x:v>Беловская ГРЭС</x:v>
      </x:c>
      <x:c r="B64" s="16" t="str">
        <x:v>2000046872-U112</x:v>
      </x:c>
      <x:c r="C64" s="16" t="str">
        <x:v>ЭЛЕКТРОКАРТОН ЭВ 0,1ММ</x:v>
      </x:c>
      <x:c r="D64" s="16" t="str">
        <x:v>Электроизоляционные материалы</x:v>
      </x:c>
      <x:c r="E64" s="16" t="str">
        <x:v>КГ</x:v>
      </x:c>
      <x:c r="F64" s="21" t="n">
        <x:v>6</x:v>
      </x:c>
      <x:c r="G64" s="17" t="n">
        <x:v>155.19619999999998</x:v>
      </x:c>
      <x:c r="H64" s="17" t="n">
        <x:f>G64*F64</x:f>
        <x:v>931.1771999999999</x:v>
      </x:c>
      <x:c r="I64" s="22" t="str">
        <x:f>HYPERLINK("https://etp-aktiv.ru/catalog/materialy/ehlektroizolyacionnye-materialy/2000046872-U112/","Открыть позицию")</x:f>
        <x:v>Открыть позицию</x:v>
      </x:c>
    </x:row>
    <x:row r="65" ht="28" customHeight="1">
      <x:c r="A65" s="16" t="str">
        <x:v>Беловская ГРЭС</x:v>
      </x:c>
      <x:c r="B65" s="16" t="str">
        <x:v>2000258373-U112</x:v>
      </x:c>
      <x:c r="C65" s="16" t="str">
        <x:v>ЭЛЕМЕНТ ПИТАНИЯ MAXELL LR44 BL10</x:v>
      </x:c>
      <x:c r="D65" s="16" t="str">
        <x:v>Элементы питания импортные, специализированные, под заказ</x:v>
      </x:c>
      <x:c r="E65" s="16" t="str">
        <x:v>ШТ</x:v>
      </x:c>
      <x:c r="F65" s="21" t="n">
        <x:v>4</x:v>
      </x:c>
      <x:c r="G65" s="17" t="n">
        <x:v>34.318599999999996</x:v>
      </x:c>
      <x:c r="H65" s="17" t="n">
        <x:f>G65*F65</x:f>
        <x:v>137.27439999999999</x:v>
      </x:c>
      <x:c r="I65" s="22" t="str">
        <x:f>HYPERLINK("https://etp-aktiv.ru/catalog/materialy/akkumulyatory/2000258373-U112/","Открыть позицию")</x:f>
        <x:v>Открыть позицию</x:v>
      </x:c>
    </x:row>
    <x:row r="66" ht="28" customHeight="1">
      <x:c r="A66" s="16" t="str">
        <x:v>Беловская ГРЭС</x:v>
      </x:c>
      <x:c r="B66" s="16" t="str">
        <x:v>2000047116-U112</x:v>
      </x:c>
      <x:c r="C66" s="16" t="str">
        <x:v>ЭМАЛЬ ГФ-92 (ХК) 11Л</x:v>
      </x:c>
      <x:c r="D66" s="16" t="str">
        <x:v>Электроизоляционные материалы</x:v>
      </x:c>
      <x:c r="E66" s="16" t="str">
        <x:v>КГ</x:v>
      </x:c>
      <x:c r="F66" s="29" t="n">
        <x:v>15.3</x:v>
      </x:c>
      <x:c r="G66" s="17" t="n">
        <x:v>269.9982</x:v>
      </x:c>
      <x:c r="H66" s="17" t="n">
        <x:f>G66*F66</x:f>
        <x:v>4130.97246</x:v>
      </x:c>
      <x:c r="I66" s="22" t="str">
        <x:f>HYPERLINK("https://etp-aktiv.ru/catalog/materialy/ehlektroizolyacionnye-materialy/2000047116-U112/","Открыть позицию")</x:f>
        <x:v>Открыть позицию</x:v>
      </x:c>
    </x:row>
    <x:row r="67" ht="28" customHeight="1">
      <x:c r="A67" s="16" t="str">
        <x:v>Беловская ГРЭС</x:v>
      </x:c>
      <x:c r="B67" s="16" t="str">
        <x:v>2000129527-U112</x:v>
      </x:c>
      <x:c r="C67" s="16" t="str">
        <x:v>ЭМАЛЬ ГФ-92ГС СЕРАЯ</x:v>
      </x:c>
      <x:c r="D67" s="16" t="str">
        <x:v>Электроизоляционные материалы</x:v>
      </x:c>
      <x:c r="E67" s="16" t="str">
        <x:v>КГ</x:v>
      </x:c>
      <x:c r="F67" s="29" t="n">
        <x:v>13.8</x:v>
      </x:c>
      <x:c r="G67" s="17" t="n">
        <x:v>293.4588</x:v>
      </x:c>
      <x:c r="H67" s="17" t="n">
        <x:f>G67*F67</x:f>
        <x:v>4049.73144</x:v>
      </x:c>
      <x:c r="I67" s="22" t="str">
        <x:f>HYPERLINK("https://etp-aktiv.ru/catalog/materialy/ehlektroizolyacionnye-materialy/2000129527-U112/","Открыть позицию")</x:f>
        <x:v>Открыть позицию</x:v>
      </x:c>
    </x:row>
    <x:row r="68" ht="28" customHeight="1">
      <x:c r="A68" s="16" t="str">
        <x:v>Кемеровская ГРЭС</x:v>
      </x:c>
      <x:c r="B68" s="16" t="str">
        <x:v>2000308432-U311</x:v>
      </x:c>
      <x:c r="C68" s="16" t="str">
        <x:v>БАТАРЕЙКА DURACELL LR14 BL2 1,5В</x:v>
      </x:c>
      <x:c r="D68" s="16" t="str">
        <x:v>Элементы питания</x:v>
      </x:c>
      <x:c r="E68" s="16" t="str">
        <x:v>ШТ</x:v>
      </x:c>
      <x:c r="F68" s="21" t="n">
        <x:v>38</x:v>
      </x:c>
      <x:c r="G68" s="17" t="n">
        <x:v>80.3004</x:v>
      </x:c>
      <x:c r="H68" s="17" t="n">
        <x:f>G68*F68</x:f>
        <x:v>3051.4152</x:v>
      </x:c>
      <x:c r="I68" s="22" t="str">
        <x:f>HYPERLINK("https://etp-aktiv.ru/catalog/materialy/akkumulyatory/2000308432-U311/","Открыть позицию")</x:f>
        <x:v>Открыть позицию</x:v>
      </x:c>
    </x:row>
    <x:row r="69" ht="28" customHeight="1">
      <x:c r="A69" s="16" t="str">
        <x:v>Кемеровская ГРЭС</x:v>
      </x:c>
      <x:c r="B69" s="16" t="str">
        <x:v>2000571357-U311</x:v>
      </x:c>
      <x:c r="C69" s="16" t="str">
        <x:v>БАТАРЕЯ АККУМУЛЯТОРНАЯ SF 6045 6В 4,5АЧ</x:v>
      </x:c>
      <x:c r="D69" s="16" t="str">
        <x:v>Элементы питания</x:v>
      </x:c>
      <x:c r="E69" s="16" t="str">
        <x:v>ШТ</x:v>
      </x:c>
      <x:c r="F69" s="21" t="n">
        <x:v>5</x:v>
      </x:c>
      <x:c r="G69" s="17" t="n">
        <x:v>494.09999999999997</x:v>
      </x:c>
      <x:c r="H69" s="17" t="n">
        <x:f>G69*F69</x:f>
        <x:v>2470.5</x:v>
      </x:c>
      <x:c r="I69" s="22" t="str">
        <x:f>HYPERLINK("https://etp-aktiv.ru/catalog/materialy/akkumulyatory/2000571357-U311/","Открыть позицию")</x:f>
        <x:v>Открыть позицию</x:v>
      </x:c>
    </x:row>
    <x:row r="70" ht="28" customHeight="1">
      <x:c r="A70" s="16" t="str">
        <x:v>Кемеровская ГРЭС</x:v>
      </x:c>
      <x:c r="B70" s="16" t="str">
        <x:v>2000563552-U311</x:v>
      </x:c>
      <x:c r="C70" s="16" t="str">
        <x:v>БЛОК ПИТАН ЛАМП PE/58/3 LIDER PLE0031580</x:v>
      </x:c>
      <x:c r="D70" s="16" t="str">
        <x:v>Низковол апп-ра и ЗЧ</x:v>
      </x:c>
      <x:c r="E70" s="16" t="str">
        <x:v>ШТ</x:v>
      </x:c>
      <x:c r="F70" s="21" t="n">
        <x:v>1</x:v>
      </x:c>
      <x:c r="G70" s="17" t="n">
        <x:v>384.99539999999996</x:v>
      </x:c>
      <x:c r="H70" s="17" t="n">
        <x:f>G70*F70</x:f>
        <x:v>384.99539999999996</x:v>
      </x:c>
      <x:c r="I70" s="22" t="str">
        <x:f>HYPERLINK("https://etp-aktiv.ru/catalog/materialy/nizkovoltnaya-apparatura-i-zapasnye-chasti/2000563552-U311/","Открыть позицию")</x:f>
        <x:v>Открыть позицию</x:v>
      </x:c>
    </x:row>
    <x:row r="71" ht="28" customHeight="1">
      <x:c r="A71" s="16" t="str">
        <x:v>Кемеровская ГРЭС</x:v>
      </x:c>
      <x:c r="B71" s="16" t="str">
        <x:v>2000603973-U311</x:v>
      </x:c>
      <x:c r="C71" s="16" t="str">
        <x:v>БЛОК ПИТАНИЯ GS18E24-P1J 0,75А 24В 18ВТ</x:v>
      </x:c>
      <x:c r="D71" s="16" t="str">
        <x:v>Низковольтная аппаратура и запасные части</x:v>
      </x:c>
      <x:c r="E71" s="16" t="str">
        <x:v>ШТ</x:v>
      </x:c>
      <x:c r="F71" s="21" t="n">
        <x:v>3</x:v>
      </x:c>
      <x:c r="G71" s="17" t="n">
        <x:v>1029.375</x:v>
      </x:c>
      <x:c r="H71" s="17" t="n">
        <x:f>G71*F71</x:f>
        <x:v>3088.125</x:v>
      </x:c>
      <x:c r="I71" s="22" t="str">
        <x:f>HYPERLINK("https://etp-aktiv.ru/catalog/materialy/nizkovoltnaya-apparatura-i-zapasnye-chasti/2000603973-U311/","Открыть позицию")</x:f>
        <x:v>Открыть позицию</x:v>
      </x:c>
    </x:row>
    <x:row r="72" ht="28" customHeight="1">
      <x:c r="A72" s="16" t="str">
        <x:v>Кемеровская ГРЭС</x:v>
      </x:c>
      <x:c r="B72" s="16" t="str">
        <x:v>2000567826-U311</x:v>
      </x:c>
      <x:c r="C72" s="16" t="str">
        <x:v>БЛОК ПИТАНИЯ J2000-PS12V3A:36W V.1</x:v>
      </x:c>
      <x:c r="D72" s="16" t="str">
        <x:v>Низковольтная аппаратура и запасные части</x:v>
      </x:c>
      <x:c r="E72" s="16" t="str">
        <x:v>ШТ</x:v>
      </x:c>
      <x:c r="F72" s="21" t="n">
        <x:v>2</x:v>
      </x:c>
      <x:c r="G72" s="17" t="n">
        <x:v>407.175</x:v>
      </x:c>
      <x:c r="H72" s="17" t="n">
        <x:f>G72*F72</x:f>
        <x:v>814.35</x:v>
      </x:c>
      <x:c r="I72" s="22" t="str">
        <x:f>HYPERLINK("https://etp-aktiv.ru/catalog/materialy/nizkovoltnaya-apparatura-i-zapasnye-chasti/2000567826-U311/","Открыть позицию")</x:f>
        <x:v>Открыть позицию</x:v>
      </x:c>
    </x:row>
    <x:row r="73" ht="28" customHeight="1">
      <x:c r="A73" s="16" t="str">
        <x:v>Кемеровская ГРЭС</x:v>
      </x:c>
      <x:c r="B73" s="16" t="str">
        <x:v>M2000972894-U311</x:v>
      </x:c>
      <x:c r="C73" s="16" t="str">
        <x:v>БЛОК ПОЛЕВОГО ИНТЕРФЕЙСА TFDOUT2</x:v>
      </x:c>
      <x:c r="D73" s="16" t="str">
        <x:v>Запасные части и принадлежности для приборов КИПиА</x:v>
      </x:c>
      <x:c r="E73" s="16" t="str">
        <x:v>ШТ</x:v>
      </x:c>
      <x:c r="F73" s="21" t="n">
        <x:v>50</x:v>
      </x:c>
      <x:c r="G73" s="17" t="n">
        <x:v>5620.0398000000005</x:v>
      </x:c>
      <x:c r="H73" s="17" t="n">
        <x:f>G73*F73</x:f>
        <x:v>281001.99000000005</x:v>
      </x:c>
      <x:c r="I73" s="22" t="str">
        <x:f>HYPERLINK("https://etp-aktiv.ru/catalog/materialy/zapasnye-chasti-i-prinadlezhnosti-dlya-priborov-kipia/M2000972894-U311/","Открыть позицию")</x:f>
        <x:v>Открыть позицию</x:v>
      </x:c>
    </x:row>
    <x:row r="74" ht="28" customHeight="1">
      <x:c r="A74" s="16" t="str">
        <x:v>Кемеровская ГРЭС</x:v>
      </x:c>
      <x:c r="B74" s="16" t="str">
        <x:v>M2000540847-U311</x:v>
      </x:c>
      <x:c r="C74" s="16" t="str">
        <x:v>БЛОК ПОЛЕВОГО ИНТЕРФЕЙСА TFIN220</x:v>
      </x:c>
      <x:c r="D74" s="16" t="str">
        <x:v>Запасные части и принадлежности для приборов КИПиА</x:v>
      </x:c>
      <x:c r="E74" s="16" t="str">
        <x:v>ШТ</x:v>
      </x:c>
      <x:c r="F74" s="21" t="n">
        <x:v>53</x:v>
      </x:c>
      <x:c r="G74" s="17" t="n">
        <x:v>5620.0398000000005</x:v>
      </x:c>
      <x:c r="H74" s="17" t="n">
        <x:f>G74*F74</x:f>
        <x:v>297862.1094</x:v>
      </x:c>
      <x:c r="I74" s="22" t="str">
        <x:f>HYPERLINK("https://etp-aktiv.ru/catalog/materialy/zapasnye-chasti-i-prinadlezhnosti-dlya-priborov-kipia/M2000540847-U311/","Открыть позицию")</x:f>
        <x:v>Открыть позицию</x:v>
      </x:c>
    </x:row>
    <x:row r="75" ht="28" customHeight="1">
      <x:c r="A75" s="16" t="str">
        <x:v>Кемеровская ГРЭС</x:v>
      </x:c>
      <x:c r="B75" s="16" t="str">
        <x:v>5000058595-U311</x:v>
      </x:c>
      <x:c r="C75" s="16" t="str">
        <x:v>БЛОК СКЗИ НКМ-2 ИПФШ.467756.002ТУ</x:v>
      </x:c>
      <x:c r="D75" s="16" t="str">
        <x:v>Аппар-ра наблюдения</x:v>
      </x:c>
      <x:c r="E75" s="16" t="str">
        <x:v>ШТ</x:v>
      </x:c>
      <x:c r="F75" s="21" t="n">
        <x:v>1</x:v>
      </x:c>
      <x:c r="G75" s="17" t="n">
        <x:v>3066.8604</x:v>
      </x:c>
      <x:c r="H75" s="17" t="n">
        <x:f>G75*F75</x:f>
        <x:v>3066.8604</x:v>
      </x:c>
      <x:c r="I75" s="22" t="str">
        <x:f>HYPERLINK("https://etp-aktiv.ru/catalog/materialy/prochie-materialy/5000058595-U311/","Открыть позицию")</x:f>
        <x:v>Открыть позицию</x:v>
      </x:c>
    </x:row>
    <x:row r="76" ht="28" customHeight="1">
      <x:c r="A76" s="16" t="str">
        <x:v>Кемеровская ГРЭС</x:v>
      </x:c>
      <x:c r="B76" s="16" t="str">
        <x:v>2000535368-U311</x:v>
      </x:c>
      <x:c r="C76" s="16" t="str">
        <x:v>ВЫКЛЮЧАТЕЛЬ ВА 47-100 63А 1P C</x:v>
      </x:c>
      <x:c r="D76" s="16" t="str">
        <x:v>Низковол апп-ра и ЗЧ</x:v>
      </x:c>
      <x:c r="E76" s="16" t="str">
        <x:v>ШТ</x:v>
      </x:c>
      <x:c r="F76" s="21" t="n">
        <x:v>0</x:v>
      </x:c>
      <x:c r="G76" s="17" t="n">
        <x:v>96.38</x:v>
      </x:c>
      <x:c r="H76" s="17" t="n">
        <x:f>G76*F76</x:f>
        <x:v>0</x:v>
      </x:c>
      <x:c r="I76" s="22" t="str">
        <x:f>HYPERLINK("https://etp-aktiv.ru/catalog/materialy/nizkovoltnaya-apparatura-i-zapasnye-chasti/2000535368-U311/","Открыть позицию")</x:f>
        <x:v>Открыть позицию</x:v>
      </x:c>
    </x:row>
    <x:row r="77" ht="28" customHeight="1">
      <x:c r="A77" s="16" t="str">
        <x:v>Кемеровская ГРЭС</x:v>
      </x:c>
      <x:c r="B77" s="16" t="str">
        <x:v>2000535413-U311</x:v>
      </x:c>
      <x:c r="C77" s="16" t="str">
        <x:v>ВЫКЛЮЧАТЕЛЬ ВА47-29 4,5КА 25А 1P C</x:v>
      </x:c>
      <x:c r="D77" s="16" t="str">
        <x:v>Низковольтная аппаратура и запасные части</x:v>
      </x:c>
      <x:c r="E77" s="16" t="str">
        <x:v>ШТ</x:v>
      </x:c>
      <x:c r="F77" s="21" t="n">
        <x:v>20</x:v>
      </x:c>
      <x:c r="G77" s="17" t="n">
        <x:v>80.3004</x:v>
      </x:c>
      <x:c r="H77" s="17" t="n">
        <x:f>G77*F77</x:f>
        <x:v>1606.0079999999998</x:v>
      </x:c>
      <x:c r="I77" s="22" t="str">
        <x:f>HYPERLINK("https://etp-aktiv.ru/catalog/materialy/nizkovoltnaya-apparatura-i-zapasnye-chasti/2000535413-U311/","Открыть позицию")</x:f>
        <x:v>Открыть позицию</x:v>
      </x:c>
    </x:row>
    <x:row r="78" ht="28" customHeight="1">
      <x:c r="A78" s="16" t="str">
        <x:v>Кемеровская ГРЭС</x:v>
      </x:c>
      <x:c r="B78" s="16" t="str">
        <x:v>2000010590-U311</x:v>
      </x:c>
      <x:c r="C78" s="16" t="str">
        <x:v>ГРОМКОГОВОРИТЕЛЬ 10 ГР-38</x:v>
      </x:c>
      <x:c r="D78" s="16" t="str">
        <x:v>Проч э/технич мат-лы</x:v>
      </x:c>
      <x:c r="E78" s="16" t="str">
        <x:v>ШТ</x:v>
      </x:c>
      <x:c r="F78" s="21" t="n">
        <x:v>0</x:v>
      </x:c>
      <x:c r="G78" s="17" t="n">
        <x:v>909.0098</x:v>
      </x:c>
      <x:c r="H78" s="17" t="n">
        <x:f>G78*F78</x:f>
        <x:v>0</x:v>
      </x:c>
      <x:c r="I78" s="22" t="str">
        <x:f>HYPERLINK("https://etp-aktiv.ru/catalog/materialy/ehlektrotekhnicheskie-materialy/2000010590-U311/","Открыть позицию")</x:f>
        <x:v>Открыть позицию</x:v>
      </x:c>
    </x:row>
    <x:row r="79" ht="28" customHeight="1">
      <x:c r="A79" s="16" t="str">
        <x:v>Кемеровская ГРЭС</x:v>
      </x:c>
      <x:c r="B79" s="16" t="str">
        <x:v>2000022971-U311</x:v>
      </x:c>
      <x:c r="C79" s="16" t="str">
        <x:v>ГРОМКОГОВОРИТЕЛЬ 25ГРД-2</x:v>
      </x:c>
      <x:c r="D79" s="16" t="str">
        <x:v>Проч э/технич мат-лы</x:v>
      </x:c>
      <x:c r="E79" s="16" t="str">
        <x:v>ШТ</x:v>
      </x:c>
      <x:c r="F79" s="21" t="n">
        <x:v>1</x:v>
      </x:c>
      <x:c r="G79" s="17" t="n">
        <x:v>1007.3051999999999</x:v>
      </x:c>
      <x:c r="H79" s="17" t="n">
        <x:f>G79*F79</x:f>
        <x:v>1007.3051999999999</x:v>
      </x:c>
      <x:c r="I79" s="22" t="str">
        <x:f>HYPERLINK("https://etp-aktiv.ru/catalog/materialy/ehlektrotekhnicheskie-materialy/2000022971-U311/","Открыть позицию")</x:f>
        <x:v>Открыть позицию</x:v>
      </x:c>
    </x:row>
    <x:row r="80" ht="28" customHeight="1">
      <x:c r="A80" s="16" t="str">
        <x:v>Кемеровская ГРЭС</x:v>
      </x:c>
      <x:c r="B80" s="16" t="str">
        <x:v>2000227961-U311</x:v>
      </x:c>
      <x:c r="C80" s="16" t="str">
        <x:v>ИЗВЕЩАТЕЛЬ ПОЖАРНЫЙ ДЫМОВОЙ ИП 212-5М3</x:v>
      </x:c>
      <x:c r="D80" s="16" t="str">
        <x:v>Запасные части и принадлежности для приборов КИПиА</x:v>
      </x:c>
      <x:c r="E80" s="16" t="str">
        <x:v>ШТ</x:v>
      </x:c>
      <x:c r="F80" s="21" t="n">
        <x:v>54</x:v>
      </x:c>
      <x:c r="G80" s="17" t="n">
        <x:v>669.9752</x:v>
      </x:c>
      <x:c r="H80" s="17" t="n">
        <x:f>G80*F80</x:f>
        <x:v>36178.6608</x:v>
      </x:c>
      <x:c r="I80" s="22" t="str">
        <x:f>HYPERLINK("https://etp-aktiv.ru/catalog/materialy/zapasnye-chasti-i-prinadlezhnosti-dlya-priborov-kipia/2000227961-U311/","Открыть позицию")</x:f>
        <x:v>Открыть позицию</x:v>
      </x:c>
    </x:row>
    <x:row r="81" ht="28" customHeight="1">
      <x:c r="A81" s="16" t="str">
        <x:v>Кемеровская ГРЭС</x:v>
      </x:c>
      <x:c r="B81" s="16" t="str">
        <x:v>M2000981533-U311</x:v>
      </x:c>
      <x:c r="C81" s="16" t="str">
        <x:v>ИСТОЧНИК ПИТАНИЯ FPOWER 2*24</x:v>
      </x:c>
      <x:c r="D81" s="16" t="str">
        <x:v>Запасные части и принадлежности для приборов КИПиА</x:v>
      </x:c>
      <x:c r="E81" s="16" t="str">
        <x:v>ШТ</x:v>
      </x:c>
      <x:c r="F81" s="21" t="n">
        <x:v>2</x:v>
      </x:c>
      <x:c r="G81" s="17" t="n">
        <x:v>1200.9436</x:v>
      </x:c>
      <x:c r="H81" s="17" t="n">
        <x:f>G81*F81</x:f>
        <x:v>2401.8872</x:v>
      </x:c>
      <x:c r="I81" s="22" t="str">
        <x:f>HYPERLINK("https://etp-aktiv.ru/catalog/materialy/zapasnye-chasti-i-prinadlezhnosti-dlya-priborov-kipia/M2000981533-U311/","Открыть позицию")</x:f>
        <x:v>Открыть позицию</x:v>
      </x:c>
    </x:row>
    <x:row r="82" ht="28" customHeight="1">
      <x:c r="A82" s="16" t="str">
        <x:v>Кемеровская ГРЭС</x:v>
      </x:c>
      <x:c r="B82" s="16" t="str">
        <x:v>M2000249865-U311</x:v>
      </x:c>
      <x:c r="C82" s="16" t="str">
        <x:v>ИСТОЧНИК ПИТАНИЯ LK1001-7RV3T 5В 25А</x:v>
      </x:c>
      <x:c r="D82" s="16" t="str">
        <x:v>Запасные части и принадлежности для приборов КИПиА</x:v>
      </x:c>
      <x:c r="E82" s="16" t="str">
        <x:v>ШТ</x:v>
      </x:c>
      <x:c r="F82" s="21" t="n">
        <x:v>10</x:v>
      </x:c>
      <x:c r="G82" s="17" t="n">
        <x:v>5352.75</x:v>
      </x:c>
      <x:c r="H82" s="17" t="n">
        <x:f>G82*F82</x:f>
        <x:v>53527.5</x:v>
      </x:c>
      <x:c r="I82" s="22" t="str">
        <x:f>HYPERLINK("https://etp-aktiv.ru/catalog/materialy/zapasnye-chasti-i-prinadlezhnosti-dlya-priborov-kipia/M2000249865-U311/","Открыть позицию")</x:f>
        <x:v>Открыть позицию</x:v>
      </x:c>
    </x:row>
    <x:row r="83" ht="28" customHeight="1">
      <x:c r="A83" s="16" t="str">
        <x:v>Кемеровская ГРЭС</x:v>
      </x:c>
      <x:c r="B83" s="16" t="str">
        <x:v>M2000980589-U311</x:v>
      </x:c>
      <x:c r="C83" s="16" t="str">
        <x:v>ИСТОЧНИК ПИТАНИЯ LS1601-7R</x:v>
      </x:c>
      <x:c r="D83" s="16" t="str">
        <x:v>Запасные части и принадлежности для приборов КИПиА</x:v>
      </x:c>
      <x:c r="E83" s="16" t="str">
        <x:v>ШТ</x:v>
      </x:c>
      <x:c r="F83" s="21" t="n">
        <x:v>10</x:v>
      </x:c>
      <x:c r="G83" s="17" t="n">
        <x:v>557.9182</x:v>
      </x:c>
      <x:c r="H83" s="17" t="n">
        <x:f>G83*F83</x:f>
        <x:v>5579.182</x:v>
      </x:c>
      <x:c r="I83" s="22" t="str">
        <x:f>HYPERLINK("https://etp-aktiv.ru/catalog/materialy/zapasnye-chasti-i-prinadlezhnosti-dlya-priborov-kipia/M2000980589-U311/","Открыть позицию")</x:f>
        <x:v>Открыть позицию</x:v>
      </x:c>
    </x:row>
    <x:row r="84" ht="28" customHeight="1">
      <x:c r="A84" s="16" t="str">
        <x:v>Кемеровская ГРЭС</x:v>
      </x:c>
      <x:c r="B84" s="16" t="str">
        <x:v>M2000653063-U311</x:v>
      </x:c>
      <x:c r="C84" s="16" t="str">
        <x:v>ИСТОЧНИК ПИТАНИЯ ТОРНАДО TSIN-230 060032</x:v>
      </x:c>
      <x:c r="D84" s="16" t="str">
        <x:v>Запасные части и принадлежности для приборов КИПиА</x:v>
      </x:c>
      <x:c r="E84" s="16" t="str">
        <x:v>ШТ</x:v>
      </x:c>
      <x:c r="F84" s="21" t="n">
        <x:v>3</x:v>
      </x:c>
      <x:c r="G84" s="17" t="n">
        <x:v>1200.9436</x:v>
      </x:c>
      <x:c r="H84" s="17" t="n">
        <x:f>G84*F84</x:f>
        <x:v>3602.8308</x:v>
      </x:c>
      <x:c r="I84" s="22" t="str">
        <x:f>HYPERLINK("https://etp-aktiv.ru/catalog/materialy/zapasnye-chasti-i-prinadlezhnosti-dlya-priborov-kipia/M2000653063-U311/","Открыть позицию")</x:f>
        <x:v>Открыть позицию</x:v>
      </x:c>
    </x:row>
    <x:row r="85" ht="28" customHeight="1">
      <x:c r="A85" s="16" t="str">
        <x:v>Кемеровская ГРЭС</x:v>
      </x:c>
      <x:c r="B85" s="16" t="str">
        <x:v>2000112633-U311</x:v>
      </x:c>
      <x:c r="C85" s="16" t="str">
        <x:v>КЛАВИАТУРА GENIUS KB-09E MULTIMEDIA</x:v>
      </x:c>
      <x:c r="D85" s="16" t="str">
        <x:v>Комплектующие и запасные части к компьютерному и офисному об</x:v>
      </x:c>
      <x:c r="E85" s="16" t="str">
        <x:v>ШТ</x:v>
      </x:c>
      <x:c r="F85" s="21" t="n">
        <x:v>3</x:v>
      </x:c>
      <x:c r="G85" s="17" t="n">
        <x:v>525.0025999999999</x:v>
      </x:c>
      <x:c r="H85" s="17" t="n">
        <x:f>G85*F85</x:f>
        <x:v>1575.0077999999999</x:v>
      </x:c>
      <x:c r="I85" s="22" t="str">
        <x:f>HYPERLINK("https://etp-aktiv.ru/catalog/materialy/komplektuyushchie-i-zapasnye-chasti-k-kompyuternomu-i-ofisnomu-oborudovaniyu/2000112633-U311/","Открыть позицию")</x:f>
        <x:v>Открыть позицию</x:v>
      </x:c>
    </x:row>
    <x:row r="86" ht="28" customHeight="1">
      <x:c r="A86" s="16" t="str">
        <x:v>Кемеровская ГРЭС</x:v>
      </x:c>
      <x:c r="B86" s="16" t="str">
        <x:v>2000138470-U311</x:v>
      </x:c>
      <x:c r="C86" s="16" t="str">
        <x:v>КОНТАКТОР МК2-20 220В</x:v>
      </x:c>
      <x:c r="D86" s="16" t="str">
        <x:v>Низковольтная аппаратура и запасные части</x:v>
      </x:c>
      <x:c r="E86" s="16" t="str">
        <x:v>ШТ</x:v>
      </x:c>
      <x:c r="F86" s="21" t="n">
        <x:v>0</x:v>
      </x:c>
      <x:c r="G86" s="17" t="n">
        <x:v>692.0816</x:v>
      </x:c>
      <x:c r="H86" s="17" t="n">
        <x:f>G86*F86</x:f>
        <x:v>0</x:v>
      </x:c>
      <x:c r="I86" s="22" t="str">
        <x:f>HYPERLINK("https://etp-aktiv.ru/catalog/materialy/nizkovoltnaya-apparatura-i-zapasnye-chasti/2000138470-U311/","Открыть позицию")</x:f>
        <x:v>Открыть позицию</x:v>
      </x:c>
    </x:row>
    <x:row r="87" ht="28" customHeight="1">
      <x:c r="A87" s="16" t="str">
        <x:v>Кемеровская ГРЭС</x:v>
      </x:c>
      <x:c r="B87" s="16" t="str">
        <x:v>2000588232-U311</x:v>
      </x:c>
      <x:c r="C87" s="16" t="str">
        <x:v>КОРОБКА 75*75*20 UKO10-075-075-020-K01</x:v>
      </x:c>
      <x:c r="D87" s="16" t="str">
        <x:v>Осветительная продукция и изделия электроустановочные</x:v>
      </x:c>
      <x:c r="E87" s="16" t="str">
        <x:v>ШТ</x:v>
      </x:c>
      <x:c r="F87" s="21" t="n">
        <x:v>50</x:v>
      </x:c>
      <x:c r="G87" s="17" t="n">
        <x:v>51.776799999999994</x:v>
      </x:c>
      <x:c r="H87" s="17" t="n">
        <x:f>G87*F87</x:f>
        <x:v>2588.8399999999997</x:v>
      </x:c>
      <x:c r="I87" s="22" t="str">
        <x:f>HYPERLINK("https://etp-aktiv.ru/catalog/materialy/ehlektrotekhnicheskie-materialy/2000588232-U311/","Открыть позицию")</x:f>
        <x:v>Открыть позицию</x:v>
      </x:c>
    </x:row>
    <x:row r="88" ht="28" customHeight="1">
      <x:c r="A88" s="16" t="str">
        <x:v>Кемеровская ГРЭС</x:v>
      </x:c>
      <x:c r="B88" s="16" t="str">
        <x:v>2000580142-U311</x:v>
      </x:c>
      <x:c r="C88" s="16" t="str">
        <x:v>КОРОБКА ОТВЕТВИТ МОК-4 IP31 25А/380В</x:v>
      </x:c>
      <x:c r="D88" s="16" t="str">
        <x:v>Осветительная продукция и изделия электроустановочные</x:v>
      </x:c>
      <x:c r="E88" s="16" t="str">
        <x:v>ШТ</x:v>
      </x:c>
      <x:c r="F88" s="21" t="n">
        <x:v>20</x:v>
      </x:c>
      <x:c r="G88" s="17" t="n">
        <x:v>104.2734</x:v>
      </x:c>
      <x:c r="H88" s="17" t="n">
        <x:f>G88*F88</x:f>
        <x:v>2085.468</x:v>
      </x:c>
      <x:c r="I88" s="22" t="str">
        <x:f>HYPERLINK("https://etp-aktiv.ru/catalog/materialy/ehlektrotekhnicheskie-materialy/2000580142-U311/","Открыть позицию")</x:f>
        <x:v>Открыть позицию</x:v>
      </x:c>
    </x:row>
    <x:row r="89" ht="28" customHeight="1">
      <x:c r="A89" s="16" t="str">
        <x:v>Кемеровская ГРЭС</x:v>
      </x:c>
      <x:c r="B89" s="16" t="str">
        <x:v>2000537157-U311</x:v>
      </x:c>
      <x:c r="C89" s="16" t="str">
        <x:v>КОРПУС ЩМП-1-0 74 У1 IP65 GARANT</x:v>
      </x:c>
      <x:c r="D89" s="16" t="str">
        <x:v>Низковол апп-ра и ЗЧ</x:v>
      </x:c>
      <x:c r="E89" s="16" t="str">
        <x:v>ШТ</x:v>
      </x:c>
      <x:c r="F89" s="21" t="n">
        <x:v>0</x:v>
      </x:c>
      <x:c r="G89" s="17" t="n">
        <x:v>854.5612</x:v>
      </x:c>
      <x:c r="H89" s="17" t="n">
        <x:f>G89*F89</x:f>
        <x:v>0</x:v>
      </x:c>
      <x:c r="I89" s="22" t="str">
        <x:f>HYPERLINK("https://etp-aktiv.ru/catalog/materialy/nizkovoltnaya-apparatura-i-zapasnye-chasti/2000537157-U311/","Открыть позицию")</x:f>
        <x:v>Открыть позицию</x:v>
      </x:c>
    </x:row>
    <x:row r="90" ht="28" customHeight="1">
      <x:c r="A90" s="16" t="str">
        <x:v>Кемеровская ГРЭС</x:v>
      </x:c>
      <x:c r="B90" s="16" t="str">
        <x:v>2000537102-U311</x:v>
      </x:c>
      <x:c r="C90" s="16" t="str">
        <x:v>КОРПУС ЩРН-18 УХЛ3 IP31 400*250*120</x:v>
      </x:c>
      <x:c r="D90" s="16" t="str">
        <x:v>Низковол апп-ра и ЗЧ</x:v>
      </x:c>
      <x:c r="E90" s="16" t="str">
        <x:v>ШТ</x:v>
      </x:c>
      <x:c r="F90" s="21" t="n">
        <x:v>1</x:v>
      </x:c>
      <x:c r="G90" s="17" t="n">
        <x:v>171.349</x:v>
      </x:c>
      <x:c r="H90" s="17" t="n">
        <x:f>G90*F90</x:f>
        <x:v>171.349</x:v>
      </x:c>
      <x:c r="I90" s="22" t="str">
        <x:f>HYPERLINK("https://etp-aktiv.ru/catalog/materialy/nizkovoltnaya-apparatura-i-zapasnye-chasti/2000537102-U311/","Открыть позицию")</x:f>
        <x:v>Открыть позицию</x:v>
      </x:c>
    </x:row>
    <x:row r="91" ht="28" customHeight="1">
      <x:c r="A91" s="16" t="str">
        <x:v>Кемеровская ГРЭС</x:v>
      </x:c>
      <x:c r="B91" s="16" t="str">
        <x:v>2000029116-U311</x:v>
      </x:c>
      <x:c r="C91" s="16" t="str">
        <x:v>ЛАКОТКАНЬ ЛКМС 0,15ММ</x:v>
      </x:c>
      <x:c r="D91" s="16" t="str">
        <x:v>Электроизоляционные материалы</x:v>
      </x:c>
      <x:c r="E91" s="16" t="str">
        <x:v>М2</x:v>
      </x:c>
      <x:c r="F91" s="21" t="n">
        <x:v>1</x:v>
      </x:c>
      <x:c r="G91" s="17" t="n">
        <x:v>175.375</x:v>
      </x:c>
      <x:c r="H91" s="17" t="n">
        <x:f>G91*F91</x:f>
        <x:v>175.375</x:v>
      </x:c>
      <x:c r="I91" s="22" t="str">
        <x:f>HYPERLINK("https://etp-aktiv.ru/catalog/materialy/ehlektroizolyacionnye-materialy/2000029116-U311/","Открыть позицию")</x:f>
        <x:v>Открыть позицию</x:v>
      </x:c>
    </x:row>
    <x:row r="92" ht="28" customHeight="1">
      <x:c r="A92" s="16" t="str">
        <x:v>Кемеровская ГРЭС</x:v>
      </x:c>
      <x:c r="B92" s="16" t="str">
        <x:v>2000545185-U311</x:v>
      </x:c>
      <x:c r="C92" s="16" t="str">
        <x:v>ЛАМПА ГАЛОГЕН ФОНАРЯ ФОС-3 0,85А P13.5S</x:v>
      </x:c>
      <x:c r="D92" s="16" t="str">
        <x:v>Освет и э/установоч</x:v>
      </x:c>
      <x:c r="E92" s="16" t="str">
        <x:v>ШТ</x:v>
      </x:c>
      <x:c r="F92" s="21" t="n">
        <x:v>50</x:v>
      </x:c>
      <x:c r="G92" s="17" t="n">
        <x:v>25.7664</x:v>
      </x:c>
      <x:c r="H92" s="17" t="n">
        <x:f>G92*F92</x:f>
        <x:v>1288.32</x:v>
      </x:c>
      <x:c r="I92" s="22" t="str">
        <x:f>HYPERLINK("https://etp-aktiv.ru/catalog/materialy/ehlektrotekhnicheskie-materialy/2000545185-U311/","Открыть позицию")</x:f>
        <x:v>Открыть позицию</x:v>
      </x:c>
    </x:row>
    <x:row r="93" ht="28" customHeight="1">
      <x:c r="A93" s="16" t="str">
        <x:v>Кемеровская ГРЭС</x:v>
      </x:c>
      <x:c r="B93" s="16" t="str">
        <x:v>2000545197-U311</x:v>
      </x:c>
      <x:c r="C93" s="16" t="str">
        <x:v>ЛАМПА КГМ-6,3-15-1 6В 15ВТ G4</x:v>
      </x:c>
      <x:c r="D93" s="16" t="str">
        <x:v>Осветительная продукция и изделия электроустановочные</x:v>
      </x:c>
      <x:c r="E93" s="16" t="str">
        <x:v>ШТ</x:v>
      </x:c>
      <x:c r="F93" s="21" t="n">
        <x:v>1</x:v>
      </x:c>
      <x:c r="G93" s="17" t="n">
        <x:v>44.6886</x:v>
      </x:c>
      <x:c r="H93" s="17" t="n">
        <x:f>G93*F93</x:f>
        <x:v>44.6886</x:v>
      </x:c>
      <x:c r="I93" s="22" t="str">
        <x:f>HYPERLINK("https://etp-aktiv.ru/catalog/materialy/ehlektrotekhnicheskie-materialy/2000545197-U311/","Открыть позицию")</x:f>
        <x:v>Открыть позицию</x:v>
      </x:c>
    </x:row>
    <x:row r="94" ht="28" customHeight="1">
      <x:c r="A94" s="16" t="str">
        <x:v>Кемеровская ГРЭС</x:v>
      </x:c>
      <x:c r="B94" s="16" t="str">
        <x:v>2000914065-U311</x:v>
      </x:c>
      <x:c r="C94" s="16" t="str">
        <x:v>ЛЕНТА ТАФТЯНАЯ ЛЭ-10-5 Х/Б 10ММ ГОСТ4514</x:v>
      </x:c>
      <x:c r="D94" s="16" t="str">
        <x:v>Электроизоляционные материалы</x:v>
      </x:c>
      <x:c r="E94" s="16" t="str">
        <x:v>М</x:v>
      </x:c>
      <x:c r="F94" s="21" t="n">
        <x:v>1100</x:v>
      </x:c>
      <x:c r="G94" s="17" t="n">
        <x:v>1.1346</x:v>
      </x:c>
      <x:c r="H94" s="17" t="n">
        <x:f>G94*F94</x:f>
        <x:v>1248.06</x:v>
      </x:c>
      <x:c r="I94" s="22" t="str">
        <x:f>HYPERLINK("https://etp-aktiv.ru/catalog/materialy/ehlektroizolyacionnye-materialy/2000914065-U311/","Открыть позицию")</x:f>
        <x:v>Открыть позицию</x:v>
      </x:c>
    </x:row>
    <x:row r="95" ht="28" customHeight="1">
      <x:c r="A95" s="16" t="str">
        <x:v>Кемеровская ГРЭС</x:v>
      </x:c>
      <x:c r="B95" s="16" t="str">
        <x:v>2000247993-U311</x:v>
      </x:c>
      <x:c r="C95" s="16" t="str">
        <x:v>МИКРОФОН INTER-M RM-01</x:v>
      </x:c>
      <x:c r="D95" s="16" t="str">
        <x:v>Компл,ЗЧ Оф/КомпОб</x:v>
      </x:c>
      <x:c r="E95" s="16" t="str">
        <x:v>ШТ</x:v>
      </x:c>
      <x:c r="F95" s="21" t="n">
        <x:v>1</x:v>
      </x:c>
      <x:c r="G95" s="17" t="n">
        <x:v>601.6186</x:v>
      </x:c>
      <x:c r="H95" s="17" t="n">
        <x:f>G95*F95</x:f>
        <x:v>601.6186</x:v>
      </x:c>
      <x:c r="I95" s="22" t="str">
        <x:f>HYPERLINK("https://etp-aktiv.ru/catalog/materialy/komplektuyushchie-i-zapasnye-chasti-k-kompyuternomu-i-ofisnomu-oborudovaniyu/2000247993-U311/","Открыть позицию")</x:f>
        <x:v>Открыть позицию</x:v>
      </x:c>
    </x:row>
    <x:row r="96" ht="28" customHeight="1">
      <x:c r="A96" s="16" t="str">
        <x:v>Кемеровская ГРЭС</x:v>
      </x:c>
      <x:c r="B96" s="16" t="str">
        <x:v>M2000250165-U311</x:v>
      </x:c>
      <x:c r="C96" s="16" t="str">
        <x:v>МОДУЛЬ MIF-PPC</x:v>
      </x:c>
      <x:c r="D96" s="16" t="str">
        <x:v>Запасные части и принадлежности для приборов КИПиА</x:v>
      </x:c>
      <x:c r="E96" s="16" t="str">
        <x:v>ШТ</x:v>
      </x:c>
      <x:c r="F96" s="21" t="n">
        <x:v>67</x:v>
      </x:c>
      <x:c r="G96" s="17" t="n">
        <x:v>4503.5202</x:v>
      </x:c>
      <x:c r="H96" s="17" t="n">
        <x:f>G96*F96</x:f>
        <x:v>301735.8534</x:v>
      </x:c>
      <x:c r="I96" s="22" t="str">
        <x:f>HYPERLINK("https://etp-aktiv.ru/catalog/materialy/zapasnye-chasti-i-prinadlezhnosti-dlya-priborov-kipia/M2000250165-U311/","Открыть позицию")</x:f>
        <x:v>Открыть позицию</x:v>
      </x:c>
    </x:row>
    <x:row r="97" ht="28" customHeight="1">
      <x:c r="A97" s="16" t="str">
        <x:v>Кемеровская ГРЭС</x:v>
      </x:c>
      <x:c r="B97" s="16" t="str">
        <x:v>M2000973100-U311</x:v>
      </x:c>
      <x:c r="C97" s="16" t="str">
        <x:v>МОДУЛЬ TFLN24-30 060062</x:v>
      </x:c>
      <x:c r="D97" s="16" t="str">
        <x:v>Запасные части и принадлежности для приборов КИПиА</x:v>
      </x:c>
      <x:c r="E97" s="16" t="str">
        <x:v>ШТ</x:v>
      </x:c>
      <x:c r="F97" s="21" t="n">
        <x:v>14</x:v>
      </x:c>
      <x:c r="G97" s="17" t="n">
        <x:v>445.2756</x:v>
      </x:c>
      <x:c r="H97" s="17" t="n">
        <x:f>G97*F97</x:f>
        <x:v>6233.8584</x:v>
      </x:c>
      <x:c r="I97" s="22" t="str">
        <x:f>HYPERLINK("https://etp-aktiv.ru/catalog/materialy/zapasnye-chasti-i-prinadlezhnosti-dlya-priborov-kipia/M2000973100-U311/","Открыть позицию")</x:f>
        <x:v>Открыть позицию</x:v>
      </x:c>
    </x:row>
    <x:row r="98" ht="28" customHeight="1">
      <x:c r="A98" s="16" t="str">
        <x:v>Кемеровская ГРЭС</x:v>
      </x:c>
      <x:c r="B98" s="16" t="str">
        <x:v>M2000973058-U311</x:v>
      </x:c>
      <x:c r="C98" s="16" t="str">
        <x:v>МОДУЛЬ БАЗОВЫЙ FPTS CROSS</x:v>
      </x:c>
      <x:c r="D98" s="16" t="str">
        <x:v>Запасные части и принадлежности для приборов КИПиА</x:v>
      </x:c>
      <x:c r="E98" s="16" t="str">
        <x:v>ШТ</x:v>
      </x:c>
      <x:c r="F98" s="21" t="n">
        <x:v>25</x:v>
      </x:c>
      <x:c r="G98" s="17" t="n">
        <x:v>3508.6224</x:v>
      </x:c>
      <x:c r="H98" s="17" t="n">
        <x:f>G98*F98</x:f>
        <x:v>87715.56</x:v>
      </x:c>
      <x:c r="I98" s="22" t="str">
        <x:f>HYPERLINK("https://etp-aktiv.ru/catalog/materialy/zapasnye-chasti-i-prinadlezhnosti-dlya-priborov-kipia/M2000973058-U311/","Открыть позицию")</x:f>
        <x:v>Открыть позицию</x:v>
      </x:c>
    </x:row>
    <x:row r="99" ht="28" customHeight="1">
      <x:c r="A99" s="16" t="str">
        <x:v>Кемеровская ГРЭС</x:v>
      </x:c>
      <x:c r="B99" s="16" t="str">
        <x:v>M2000684028-U311</x:v>
      </x:c>
      <x:c r="C99" s="16" t="str">
        <x:v>МОДУЛЬ БПИ MIRAGE FTHERM 050142</x:v>
      </x:c>
      <x:c r="D99" s="16" t="str">
        <x:v>Запасные части и принадлежности для приборов КИПиА</x:v>
      </x:c>
      <x:c r="E99" s="16" t="str">
        <x:v>ШТ</x:v>
      </x:c>
      <x:c r="F99" s="21" t="n">
        <x:v>29</x:v>
      </x:c>
      <x:c r="G99" s="17" t="n">
        <x:v>3508.6224</x:v>
      </x:c>
      <x:c r="H99" s="17" t="n">
        <x:f>G99*F99</x:f>
        <x:v>101750.0496</x:v>
      </x:c>
      <x:c r="I99" s="22" t="str">
        <x:f>HYPERLINK("https://etp-aktiv.ru/catalog/materialy/zapasnye-chasti-i-prinadlezhnosti-dlya-priborov-kipia/M2000684028-U311/","Открыть позицию")</x:f>
        <x:v>Открыть позицию</x:v>
      </x:c>
    </x:row>
    <x:row r="100" ht="28" customHeight="1">
      <x:c r="A100" s="16" t="str">
        <x:v>Кемеровская ГРЭС</x:v>
      </x:c>
      <x:c r="B100" s="16" t="str">
        <x:v>M2000684027-U311</x:v>
      </x:c>
      <x:c r="C100" s="16" t="str">
        <x:v>МОДУЛЬ БПИ TFCUR-M 050106</x:v>
      </x:c>
      <x:c r="D100" s="16" t="str">
        <x:v>Запасные части и принадлежности для приборов КИПиА</x:v>
      </x:c>
      <x:c r="E100" s="16" t="str">
        <x:v>ШТ</x:v>
      </x:c>
      <x:c r="F100" s="21" t="n">
        <x:v>48</x:v>
      </x:c>
      <x:c r="G100" s="17" t="n">
        <x:v>801.54</x:v>
      </x:c>
      <x:c r="H100" s="17" t="n">
        <x:f>G100*F100</x:f>
        <x:v>38473.92</x:v>
      </x:c>
      <x:c r="I100" s="22" t="str">
        <x:f>HYPERLINK("https://etp-aktiv.ru/catalog/materialy/zapasnye-chasti-i-prinadlezhnosti-dlya-priborov-kipia/M2000684027-U311/","Открыть позицию")</x:f>
        <x:v>Открыть позицию</x:v>
      </x:c>
    </x:row>
    <x:row r="101" ht="28" customHeight="1">
      <x:c r="A101" s="16" t="str">
        <x:v>Кемеровская ГРЭС</x:v>
      </x:c>
      <x:c r="B101" s="16" t="str">
        <x:v>2000538029-U311</x:v>
      </x:c>
      <x:c r="C101" s="16" t="str">
        <x:v>НАКОПИТЕЛЬ USB APACER AH326 16GB</x:v>
      </x:c>
      <x:c r="D101" s="16" t="str">
        <x:v>Комплектующие и запасные части к компьютерному и офисному об</x:v>
      </x:c>
      <x:c r="E101" s="16" t="str">
        <x:v>ШТ</x:v>
      </x:c>
      <x:c r="F101" s="21" t="n">
        <x:v>13</x:v>
      </x:c>
      <x:c r="G101" s="17" t="n">
        <x:v>320.25</x:v>
      </x:c>
      <x:c r="H101" s="17" t="n">
        <x:f>G101*F101</x:f>
        <x:v>4163.25</x:v>
      </x:c>
      <x:c r="I101" s="22" t="str">
        <x:f>HYPERLINK("https://etp-aktiv.ru/catalog/materialy/komplektuyushchie-i-zapasnye-chasti-k-kompyuternomu-i-ofisnomu-oborudovaniyu/2000538029-U311/","Открыть позицию")</x:f>
        <x:v>Открыть позицию</x:v>
      </x:c>
    </x:row>
    <x:row r="102" ht="28" customHeight="1">
      <x:c r="A102" s="16" t="str">
        <x:v>Кемеровская ГРЭС</x:v>
      </x:c>
      <x:c r="B102" s="16" t="str">
        <x:v>2000264630-U311</x:v>
      </x:c>
      <x:c r="C102" s="16" t="str">
        <x:v>ОПОВЕЩАТЕЛЬ СВЕТО-ЗВУКОВОЙ ПРИЗМА-200И</x:v>
      </x:c>
      <x:c r="D102" s="16" t="str">
        <x:v>ЗЧ КИПиА</x:v>
      </x:c>
      <x:c r="E102" s="16" t="str">
        <x:v>ШТ</x:v>
      </x:c>
      <x:c r="F102" s="21" t="n">
        <x:v>1</x:v>
      </x:c>
      <x:c r="G102" s="17" t="n">
        <x:v>55.144000000000005</x:v>
      </x:c>
      <x:c r="H102" s="17" t="n">
        <x:f>G102*F102</x:f>
        <x:v>55.144000000000005</x:v>
      </x:c>
      <x:c r="I102" s="22" t="str">
        <x:f>HYPERLINK("https://etp-aktiv.ru/catalog/materialy/zapasnye-chasti-i-prinadlezhnosti-dlya-priborov-kipia/2000264630-U311/","Открыть позицию")</x:f>
        <x:v>Открыть позицию</x:v>
      </x:c>
    </x:row>
    <x:row r="103" ht="28" customHeight="1">
      <x:c r="A103" s="16" t="str">
        <x:v>Кемеровская ГРЭС</x:v>
      </x:c>
      <x:c r="B103" s="16" t="str">
        <x:v>2000536683-U311</x:v>
      </x:c>
      <x:c r="C103" s="16" t="str">
        <x:v>ПЕРЕКЛЮЧАТЕЛЬ АС-22 220В ФИКС.</x:v>
      </x:c>
      <x:c r="D103" s="16" t="str">
        <x:v>Низковол апп-ра и ЗЧ</x:v>
      </x:c>
      <x:c r="E103" s="16" t="str">
        <x:v>ШТ</x:v>
      </x:c>
      <x:c r="F103" s="21" t="n">
        <x:v>1</x:v>
      </x:c>
      <x:c r="G103" s="17" t="n">
        <x:v>47.9704</x:v>
      </x:c>
      <x:c r="H103" s="17" t="n">
        <x:f>G103*F103</x:f>
        <x:v>47.9704</x:v>
      </x:c>
      <x:c r="I103" s="22" t="str">
        <x:f>HYPERLINK("https://etp-aktiv.ru/catalog/materialy/nizkovoltnaya-apparatura-i-zapasnye-chasti/2000536683-U311/","Открыть позицию")</x:f>
        <x:v>Открыть позицию</x:v>
      </x:c>
    </x:row>
    <x:row r="104" ht="28" customHeight="1">
      <x:c r="A104" s="16" t="str">
        <x:v>Кемеровская ГРЭС</x:v>
      </x:c>
      <x:c r="B104" s="16" t="str">
        <x:v>2000536767-U311</x:v>
      </x:c>
      <x:c r="C104" s="16" t="str">
        <x:v>ПОСТ КНОПОЧНЫЙ ПКЕ 712-2 У3 IP40</x:v>
      </x:c>
      <x:c r="D104" s="16" t="str">
        <x:v>Низковол апп-ра и ЗЧ</x:v>
      </x:c>
      <x:c r="E104" s="16" t="str">
        <x:v>ШТ</x:v>
      </x:c>
      <x:c r="F104" s="21" t="n">
        <x:v>2</x:v>
      </x:c>
      <x:c r="G104" s="17" t="n">
        <x:v>12.2854</x:v>
      </x:c>
      <x:c r="H104" s="17" t="n">
        <x:f>G104*F104</x:f>
        <x:v>24.5708</x:v>
      </x:c>
      <x:c r="I104" s="22" t="str">
        <x:f>HYPERLINK("https://etp-aktiv.ru/catalog/materialy/nizkovoltnaya-apparatura-i-zapasnye-chasti/2000536767-U311/","Открыть позицию")</x:f>
        <x:v>Открыть позицию</x:v>
      </x:c>
    </x:row>
    <x:row r="105" ht="28" customHeight="1">
      <x:c r="A105" s="16" t="str">
        <x:v>Кемеровская ГРЭС</x:v>
      </x:c>
      <x:c r="B105" s="16" t="str">
        <x:v>2000264631-U311</x:v>
      </x:c>
      <x:c r="C105" s="16" t="str">
        <x:v>ПРИБОР ПРИЕМНО-КОНТРОЛ УПКОП 135-1-1 V5</x:v>
      </x:c>
      <x:c r="D105" s="16" t="str">
        <x:v>Запасные части и принадлежности для приборов КИПиА</x:v>
      </x:c>
      <x:c r="E105" s="16" t="str">
        <x:v>ШТ</x:v>
      </x:c>
      <x:c r="F105" s="21" t="n">
        <x:v>1</x:v>
      </x:c>
      <x:c r="G105" s="17" t="n">
        <x:v>959.2982</x:v>
      </x:c>
      <x:c r="H105" s="17" t="n">
        <x:f>G105*F105</x:f>
        <x:v>959.2982</x:v>
      </x:c>
      <x:c r="I105" s="22" t="str">
        <x:f>HYPERLINK("https://etp-aktiv.ru/catalog/materialy/zapasnye-chasti-i-prinadlezhnosti-dlya-priborov-kipia/2000264631-U311/","Открыть позицию")</x:f>
        <x:v>Открыть позицию</x:v>
      </x:c>
    </x:row>
    <x:row r="106" ht="28" customHeight="1">
      <x:c r="A106" s="16" t="str">
        <x:v>Кемеровская ГРЭС</x:v>
      </x:c>
      <x:c r="B106" s="16" t="str">
        <x:v>2000264503-U311</x:v>
      </x:c>
      <x:c r="C106" s="16" t="str">
        <x:v>ПРИБОР ПРИЕМНО-КОНТРОЛЬНЫЙ ЦИРКОН-3</x:v>
      </x:c>
      <x:c r="D106" s="16" t="str">
        <x:v>ЗЧ КИПиА</x:v>
      </x:c>
      <x:c r="E106" s="16" t="str">
        <x:v>ШТ</x:v>
      </x:c>
      <x:c r="F106" s="21" t="n">
        <x:v>1</x:v>
      </x:c>
      <x:c r="G106" s="17" t="n">
        <x:v>345.06479999999993</x:v>
      </x:c>
      <x:c r="H106" s="17" t="n">
        <x:f>G106*F106</x:f>
        <x:v>345.06479999999993</x:v>
      </x:c>
      <x:c r="I106" s="22" t="str">
        <x:f>HYPERLINK("https://etp-aktiv.ru/catalog/materialy/zapasnye-chasti-i-prinadlezhnosti-dlya-priborov-kipia/2000264503-U311/","Открыть позицию")</x:f>
        <x:v>Открыть позицию</x:v>
      </x:c>
    </x:row>
    <x:row r="107" ht="28" customHeight="1">
      <x:c r="A107" s="16" t="str">
        <x:v>Кемеровская ГРЭС</x:v>
      </x:c>
      <x:c r="B107" s="16" t="str">
        <x:v>2000535783-U311</x:v>
      </x:c>
      <x:c r="C107" s="16" t="str">
        <x:v>ПУСКАТЕЛЬ ПРК32-4 660В 4А</x:v>
      </x:c>
      <x:c r="D107" s="16" t="str">
        <x:v>Низковол апп-ра и ЗЧ</x:v>
      </x:c>
      <x:c r="E107" s="16" t="str">
        <x:v>ШТ</x:v>
      </x:c>
      <x:c r="F107" s="21" t="n">
        <x:v>0</x:v>
      </x:c>
      <x:c r="G107" s="17" t="n">
        <x:v>211.08440000000002</x:v>
      </x:c>
      <x:c r="H107" s="17" t="n">
        <x:f>G107*F107</x:f>
        <x:v>0</x:v>
      </x:c>
      <x:c r="I107" s="22" t="str">
        <x:f>HYPERLINK("https://etp-aktiv.ru/catalog/materialy/nizkovoltnaya-apparatura-i-zapasnye-chasti/2000535783-U311/","Открыть позицию")</x:f>
        <x:v>Открыть позицию</x:v>
      </x:c>
    </x:row>
    <x:row r="108" ht="28" customHeight="1">
      <x:c r="A108" s="16" t="str">
        <x:v>Кемеровская ГРЭС</x:v>
      </x:c>
      <x:c r="B108" s="16" t="str">
        <x:v>2000535784-U311</x:v>
      </x:c>
      <x:c r="C108" s="16" t="str">
        <x:v>ПУСКАТЕЛЬ ПРК32-6,3 660В 6,3А</x:v>
      </x:c>
      <x:c r="D108" s="16" t="str">
        <x:v>Низковол апп-ра и ЗЧ</x:v>
      </x:c>
      <x:c r="E108" s="16" t="str">
        <x:v>ШТ</x:v>
      </x:c>
      <x:c r="F108" s="21" t="n">
        <x:v>0</x:v>
      </x:c>
      <x:c r="G108" s="17" t="n">
        <x:v>275.8542</x:v>
      </x:c>
      <x:c r="H108" s="17" t="n">
        <x:f>G108*F108</x:f>
        <x:v>0</x:v>
      </x:c>
      <x:c r="I108" s="22" t="str">
        <x:f>HYPERLINK("https://etp-aktiv.ru/catalog/materialy/nizkovoltnaya-apparatura-i-zapasnye-chasti/2000535784-U311/","Открыть позицию")</x:f>
        <x:v>Открыть позицию</x:v>
      </x:c>
    </x:row>
    <x:row r="109" ht="28" customHeight="1">
      <x:c r="A109" s="16" t="str">
        <x:v>Кемеровская ГРЭС</x:v>
      </x:c>
      <x:c r="B109" s="16" t="str">
        <x:v>M2000719712-U311</x:v>
      </x:c>
      <x:c r="C109" s="16" t="str">
        <x:v>РЕАКТОР РЗДПОМ 480/10У1</x:v>
      </x:c>
      <x:c r="D109" s="16" t="str">
        <x:v>Прочие электротехнические материалы</x:v>
      </x:c>
      <x:c r="E109" s="16" t="str">
        <x:v>ШТ</x:v>
      </x:c>
      <x:c r="F109" s="21" t="n">
        <x:v>2</x:v>
      </x:c>
      <x:c r="G109" s="17" t="n">
        <x:v>160552</x:v>
      </x:c>
      <x:c r="H109" s="17" t="n">
        <x:f>G109*F109</x:f>
        <x:v>321104</x:v>
      </x:c>
      <x:c r="I109" s="22" t="str">
        <x:f>HYPERLINK("https://etp-aktiv.ru/catalog/materialy/ehlektrotekhnicheskie-materialy/M2000719712-U311/","Открыть позицию")</x:f>
        <x:v>Открыть позицию</x:v>
      </x:c>
    </x:row>
    <x:row r="110" ht="28" customHeight="1">
      <x:c r="A110" s="16" t="str">
        <x:v>Кемеровская ГРЭС</x:v>
      </x:c>
      <x:c r="B110" s="16" t="str">
        <x:v>2000567811-U311</x:v>
      </x:c>
      <x:c r="C110" s="16" t="str">
        <x:v>РЕЛЕ RELPOL R4-2014-23-1220-WTLD 220В DC</x:v>
      </x:c>
      <x:c r="D110" s="16" t="str">
        <x:v>Низковол апп-ра и ЗЧ</x:v>
      </x:c>
      <x:c r="E110" s="16" t="str">
        <x:v>ШТ</x:v>
      </x:c>
      <x:c r="F110" s="21" t="n">
        <x:v>10</x:v>
      </x:c>
      <x:c r="G110" s="17" t="n">
        <x:v>53.7532</x:v>
      </x:c>
      <x:c r="H110" s="17" t="n">
        <x:f>G110*F110</x:f>
        <x:v>537.532</x:v>
      </x:c>
      <x:c r="I110" s="22" t="str">
        <x:f>HYPERLINK("https://etp-aktiv.ru/catalog/materialy/nizkovoltnaya-apparatura-i-zapasnye-chasti/2000567811-U311/","Открыть позицию")</x:f>
        <x:v>Открыть позицию</x:v>
      </x:c>
    </x:row>
    <x:row r="111" ht="28" customHeight="1">
      <x:c r="A111" s="16" t="str">
        <x:v>Кемеровская ГРЭС</x:v>
      </x:c>
      <x:c r="B111" s="16" t="str">
        <x:v>2000173764-U311</x:v>
      </x:c>
      <x:c r="C111" s="16" t="str">
        <x:v>РЕЛЕ РПУ-2М-211 6220 50ГЦ/220В</x:v>
      </x:c>
      <x:c r="D111" s="16" t="str">
        <x:v>ЗЧ КИПиА</x:v>
      </x:c>
      <x:c r="E111" s="16" t="str">
        <x:v>ШТ</x:v>
      </x:c>
      <x:c r="F111" s="21" t="n">
        <x:v>4</x:v>
      </x:c>
      <x:c r="G111" s="17" t="n">
        <x:v>216.6476</x:v>
      </x:c>
      <x:c r="H111" s="17" t="n">
        <x:f>G111*F111</x:f>
        <x:v>866.5904</x:v>
      </x:c>
      <x:c r="I111" s="22" t="str">
        <x:f>HYPERLINK("https://etp-aktiv.ru/catalog/materialy/zapasnye-chasti-i-prinadlezhnosti-dlya-priborov-kipia/2000173764-U311/","Открыть позицию")</x:f>
        <x:v>Открыть позицию</x:v>
      </x:c>
    </x:row>
    <x:row r="112" ht="28" customHeight="1">
      <x:c r="A112" s="16" t="str">
        <x:v>Кемеровская ГРЭС</x:v>
      </x:c>
      <x:c r="B112" s="16" t="str">
        <x:v>M2000541234-U311</x:v>
      </x:c>
      <x:c r="C112" s="16" t="str">
        <x:v>СОСУД УРАВНИТЕЛЬНЫЙ СКУР-10А</x:v>
      </x:c>
      <x:c r="D112" s="16" t="str">
        <x:v>ЗЧ КИПиА</x:v>
      </x:c>
      <x:c r="E112" s="16" t="str">
        <x:v>ШТ</x:v>
      </x:c>
      <x:c r="F112" s="21" t="n">
        <x:v>52</x:v>
      </x:c>
      <x:c r="G112" s="17" t="n">
        <x:v>63.7938</x:v>
      </x:c>
      <x:c r="H112" s="17" t="n">
        <x:f>G112*F112</x:f>
        <x:v>3317.2776</x:v>
      </x:c>
      <x:c r="I112" s="22" t="str">
        <x:f>HYPERLINK("https://etp-aktiv.ru/catalog/materialy/zapasnye-chasti-i-prinadlezhnosti-dlya-priborov-kipia/M2000541234-U311/","Открыть позицию")</x:f>
        <x:v>Открыть позицию</x:v>
      </x:c>
    </x:row>
    <x:row r="113" ht="28" customHeight="1">
      <x:c r="A113" s="16" t="str">
        <x:v>Кемеровская ГРЭС</x:v>
      </x:c>
      <x:c r="B113" s="16" t="str">
        <x:v>M2000973097-U311</x:v>
      </x:c>
      <x:c r="C113" s="16" t="str">
        <x:v>СУБМОДУЛЬ FAI-V</x:v>
      </x:c>
      <x:c r="D113" s="16" t="str">
        <x:v>Запасные части и принадлежности для приборов КИПиА</x:v>
      </x:c>
      <x:c r="E113" s="16" t="str">
        <x:v>ШТ</x:v>
      </x:c>
      <x:c r="F113" s="21" t="n">
        <x:v>17</x:v>
      </x:c>
      <x:c r="G113" s="17" t="n">
        <x:v>34.318599999999996</x:v>
      </x:c>
      <x:c r="H113" s="17" t="n">
        <x:f>G113*F113</x:f>
        <x:v>583.4161999999999</x:v>
      </x:c>
      <x:c r="I113" s="22" t="str">
        <x:f>HYPERLINK("https://etp-aktiv.ru/catalog/materialy/zapasnye-chasti-i-prinadlezhnosti-dlya-priborov-kipia/M2000973097-U311/","Открыть позицию")</x:f>
        <x:v>Открыть позицию</x:v>
      </x:c>
    </x:row>
    <x:row r="114" ht="28" customHeight="1">
      <x:c r="A114" s="16" t="str">
        <x:v>Кемеровская ГРЭС</x:v>
      </x:c>
      <x:c r="B114" s="16" t="str">
        <x:v>M2000688899-U311</x:v>
      </x:c>
      <x:c r="C114" s="16" t="str">
        <x:v>СУБМОДУЛЬ PB-DO16T</x:v>
      </x:c>
      <x:c r="D114" s="16" t="str">
        <x:v>Запасные части и принадлежности для приборов КИПиА</x:v>
      </x:c>
      <x:c r="E114" s="16" t="str">
        <x:v>ШТ</x:v>
      </x:c>
      <x:c r="F114" s="21" t="n">
        <x:v>53</x:v>
      </x:c>
      <x:c r="G114" s="17" t="n">
        <x:v>488.9515999999999</x:v>
      </x:c>
      <x:c r="H114" s="17" t="n">
        <x:f>G114*F114</x:f>
        <x:v>25914.434799999995</x:v>
      </x:c>
      <x:c r="I114" s="22" t="str">
        <x:f>HYPERLINK("https://etp-aktiv.ru/catalog/materialy/zapasnye-chasti-i-prinadlezhnosti-dlya-priborov-kipia/M2000688899-U311/","Открыть позицию")</x:f>
        <x:v>Открыть позицию</x:v>
      </x:c>
    </x:row>
    <x:row r="115" ht="28" customHeight="1">
      <x:c r="A115" s="16" t="str">
        <x:v>Кемеровская ГРЭС</x:v>
      </x:c>
      <x:c r="B115" s="16" t="str">
        <x:v>M2000541942-U311</x:v>
      </x:c>
      <x:c r="C115" s="16" t="str">
        <x:v>СУБМОДУЛЬ ДИСКР ВВОДА PB-DIN3T N030011</x:v>
      </x:c>
      <x:c r="D115" s="16" t="str">
        <x:v>Запасные части и принадлежности для приборов КИПиА</x:v>
      </x:c>
      <x:c r="E115" s="16" t="str">
        <x:v>ШТ</x:v>
      </x:c>
      <x:c r="F115" s="21" t="n">
        <x:v>58</x:v>
      </x:c>
      <x:c r="G115" s="17" t="n">
        <x:v>488.9515999999999</x:v>
      </x:c>
      <x:c r="H115" s="17" t="n">
        <x:f>G115*F115</x:f>
        <x:v>28359.192799999997</x:v>
      </x:c>
      <x:c r="I115" s="22" t="str">
        <x:f>HYPERLINK("https://etp-aktiv.ru/catalog/materialy/zapasnye-chasti-i-prinadlezhnosti-dlya-priborov-kipia/M2000541942-U311/","Открыть позицию")</x:f>
        <x:v>Открыть позицию</x:v>
      </x:c>
    </x:row>
    <x:row r="116" ht="28" customHeight="1">
      <x:c r="A116" s="16" t="str">
        <x:v>Кемеровская ГРЭС</x:v>
      </x:c>
      <x:c r="B116" s="16" t="str">
        <x:v>M2000538447-U311</x:v>
      </x:c>
      <x:c r="C116" s="16" t="str">
        <x:v>СУБМОДУЛЬ МЕЗОНИННЫЙ ТОРНАДО EMII-TX2</x:v>
      </x:c>
      <x:c r="D116" s="16" t="str">
        <x:v>Комплектующие и запасные части к компьютерному и офисному об</x:v>
      </x:c>
      <x:c r="E116" s="16" t="str">
        <x:v>ШТ</x:v>
      </x:c>
      <x:c r="F116" s="21" t="n">
        <x:v>19</x:v>
      </x:c>
      <x:c r="G116" s="17" t="n">
        <x:v>572.6802</x:v>
      </x:c>
      <x:c r="H116" s="17" t="n">
        <x:f>G116*F116</x:f>
        <x:v>10880.9238</x:v>
      </x:c>
      <x:c r="I116" s="22" t="str">
        <x:f>HYPERLINK("https://etp-aktiv.ru/catalog/materialy/komplektuyushchie-i-zapasnye-chasti-k-kompyuternomu-i-ofisnomu-oborudovaniyu/M2000538447-U311/","Открыть позицию")</x:f>
        <x:v>Открыть позицию</x:v>
      </x:c>
    </x:row>
    <x:row r="117" ht="28" customHeight="1">
      <x:c r="A117" s="16" t="str">
        <x:v>Кемеровская ГРЭС</x:v>
      </x:c>
      <x:c r="B117" s="16" t="str">
        <x:v>M2000973090-U311</x:v>
      </x:c>
      <x:c r="C117" s="16" t="str">
        <x:v>СУБМОДУЛЬ ПИТАНИЯ TFTPU-PWR</x:v>
      </x:c>
      <x:c r="D117" s="16" t="str">
        <x:v>Запасные части и принадлежности для приборов КИПиА</x:v>
      </x:c>
      <x:c r="E117" s="16" t="str">
        <x:v>ШТ</x:v>
      </x:c>
      <x:c r="F117" s="21" t="n">
        <x:v>12</x:v>
      </x:c>
      <x:c r="G117" s="17" t="n">
        <x:v>488.9515999999999</x:v>
      </x:c>
      <x:c r="H117" s="17" t="n">
        <x:f>G117*F117</x:f>
        <x:v>5867.419199999999</x:v>
      </x:c>
      <x:c r="I117" s="22" t="str">
        <x:f>HYPERLINK("https://etp-aktiv.ru/catalog/materialy/zapasnye-chasti-i-prinadlezhnosti-dlya-priborov-kipia/M2000973090-U311/","Открыть позицию")</x:f>
        <x:v>Открыть позицию</x:v>
      </x:c>
    </x:row>
    <x:row r="118" ht="28" customHeight="1">
      <x:c r="A118" s="16" t="str">
        <x:v>Кемеровская ГРЭС</x:v>
      </x:c>
      <x:c r="B118" s="16" t="str">
        <x:v>M2000538444-U311</x:v>
      </x:c>
      <x:c r="C118" s="16" t="str">
        <x:v>СУБМОДУЛЬ ТОРНАДО PB-V35T</x:v>
      </x:c>
      <x:c r="D118" s="16" t="str">
        <x:v>Комплектующие и запасные части к компьютерному и офисному об</x:v>
      </x:c>
      <x:c r="E118" s="16" t="str">
        <x:v>ШТ</x:v>
      </x:c>
      <x:c r="F118" s="21" t="n">
        <x:v>49</x:v>
      </x:c>
      <x:c r="G118" s="17" t="n">
        <x:v>488.09759999999994</x:v>
      </x:c>
      <x:c r="H118" s="17" t="n">
        <x:f>G118*F118</x:f>
        <x:v>23916.782399999996</x:v>
      </x:c>
      <x:c r="I118" s="22" t="str">
        <x:f>HYPERLINK("https://etp-aktiv.ru/catalog/materialy/komplektuyushchie-i-zapasnye-chasti-k-kompyuternomu-i-ofisnomu-oborudovaniyu/M2000538444-U311/","Открыть позицию")</x:f>
        <x:v>Открыть позицию</x:v>
      </x:c>
    </x:row>
    <x:row r="119" ht="28" customHeight="1">
      <x:c r="A119" s="16" t="str">
        <x:v>Кемеровская ГРЭС</x:v>
      </x:c>
      <x:c r="B119" s="16" t="str">
        <x:v>5000056558-U311</x:v>
      </x:c>
      <x:c r="C119" s="16" t="str">
        <x:v>СЧЕТЧИК ЦЭ6803В 1 230В 10-100А3Ф4ПРМ7Р32</x:v>
      </x:c>
      <x:c r="D119" s="16" t="str">
        <x:v>Э/измер приборы</x:v>
      </x:c>
      <x:c r="E119" s="16" t="str">
        <x:v>ШТ</x:v>
      </x:c>
      <x:c r="F119" s="21" t="n">
        <x:v>1</x:v>
      </x:c>
      <x:c r="G119" s="17" t="n">
        <x:v>344.589</x:v>
      </x:c>
      <x:c r="H119" s="17" t="n">
        <x:f>G119*F119</x:f>
        <x:v>344.589</x:v>
      </x:c>
      <x:c r="I119" s="22" t="str">
        <x:f>HYPERLINK("https://etp-aktiv.ru/catalog/materialy/zapasnye-chasti-i-prinadlezhnosti-dlya-priborov-kipia/5000056558-U311/","Открыть позицию")</x:f>
        <x:v>Открыть позицию</x:v>
      </x:c>
    </x:row>
    <x:row r="120" ht="28" customHeight="1">
      <x:c r="A120" s="16" t="str">
        <x:v>Кемеровская ГРЭС</x:v>
      </x:c>
      <x:c r="B120" s="16" t="str">
        <x:v>2000115229-U311</x:v>
      </x:c>
      <x:c r="C120" s="16" t="str">
        <x:v>СЧЕТЧИК ЦЭ6803В/1 1-7,5А 3Ф</x:v>
      </x:c>
      <x:c r="D120" s="16" t="str">
        <x:v>ЗЧ КИПиА</x:v>
      </x:c>
      <x:c r="E120" s="16" t="str">
        <x:v>ШТ</x:v>
      </x:c>
      <x:c r="F120" s="21" t="n">
        <x:v>1</x:v>
      </x:c>
      <x:c r="G120" s="17" t="n">
        <x:v>391.3638</x:v>
      </x:c>
      <x:c r="H120" s="17" t="n">
        <x:f>G120*F120</x:f>
        <x:v>391.3638</x:v>
      </x:c>
      <x:c r="I120" s="22" t="str">
        <x:f>HYPERLINK("https://etp-aktiv.ru/catalog/materialy/zapasnye-chasti-i-prinadlezhnosti-dlya-priborov-kipia/2000115229-U311/","Открыть позицию")</x:f>
        <x:v>Открыть позицию</x:v>
      </x:c>
    </x:row>
    <x:row r="121" ht="28" customHeight="1">
      <x:c r="A121" s="16" t="str">
        <x:v>Кемеровская ГРЭС</x:v>
      </x:c>
      <x:c r="B121" s="16" t="str">
        <x:v>2000574476-U311</x:v>
      </x:c>
      <x:c r="C121" s="16" t="str">
        <x:v>ТЕКСТОЛИТ А 1,0ММ ВЫСШИЙ СОРТ ГОСТ2910</x:v>
      </x:c>
      <x:c r="D121" s="16" t="str">
        <x:v>Электроизоляционные материалы</x:v>
      </x:c>
      <x:c r="E121" s="16" t="str">
        <x:v>КГ</x:v>
      </x:c>
      <x:c r="F121" s="29" t="n">
        <x:v>9.46</x:v>
      </x:c>
      <x:c r="G121" s="17" t="n">
        <x:v>157.9168</x:v>
      </x:c>
      <x:c r="H121" s="17" t="n">
        <x:f>G121*F121</x:f>
        <x:v>1493.892928</x:v>
      </x:c>
      <x:c r="I121" s="22" t="str">
        <x:f>HYPERLINK("https://etp-aktiv.ru/catalog/materialy/ehlektroizolyacionnye-materialy/2000574476-U311/","Открыть позицию")</x:f>
        <x:v>Открыть позицию</x:v>
      </x:c>
    </x:row>
    <x:row r="122" ht="28" customHeight="1">
      <x:c r="A122" s="16" t="str">
        <x:v>Кемеровская ГРЭС</x:v>
      </x:c>
      <x:c r="B122" s="16" t="str">
        <x:v>2000458934-U311</x:v>
      </x:c>
      <x:c r="C122" s="16" t="str">
        <x:v>ТРАНСФОРМАТОР ТСЗ 63 380/220</x:v>
      </x:c>
      <x:c r="D122" s="16" t="str">
        <x:v>Трансформаторы измер</x:v>
      </x:c>
      <x:c r="E122" s="16" t="str">
        <x:v>ШТ</x:v>
      </x:c>
      <x:c r="F122" s="21" t="n">
        <x:v>1</x:v>
      </x:c>
      <x:c r="G122" s="17" t="n">
        <x:v>15162.709</x:v>
      </x:c>
      <x:c r="H122" s="17" t="n">
        <x:f>G122*F122</x:f>
        <x:v>15162.709</x:v>
      </x:c>
      <x:c r="I122" s="22" t="str">
        <x:f>HYPERLINK("https://etp-aktiv.ru/catalog/materialy/ehlektrotekhnicheskie-materialy/2000458934-U311/","Открыть позицию")</x:f>
        <x:v>Открыть позицию</x:v>
      </x:c>
    </x:row>
    <x:row r="123" ht="28" customHeight="1">
      <x:c r="A123" s="16" t="str">
        <x:v>Кемеровская ГРЭС</x:v>
      </x:c>
      <x:c r="B123" s="16" t="str">
        <x:v>2000551810-U311</x:v>
      </x:c>
      <x:c r="C123" s="16" t="str">
        <x:v>ТРАСНФОРМАТОР ТПОЛ-10 0,5S/10Р-1000/5 У3</x:v>
      </x:c>
      <x:c r="D123" s="16" t="str">
        <x:v>Трансформаторы измер</x:v>
      </x:c>
      <x:c r="E123" s="16" t="str">
        <x:v>ШТ</x:v>
      </x:c>
      <x:c r="F123" s="21" t="n">
        <x:v>4</x:v>
      </x:c>
      <x:c r="G123" s="17" t="n">
        <x:v>1684.759</x:v>
      </x:c>
      <x:c r="H123" s="17" t="n">
        <x:f>G123*F123</x:f>
        <x:v>6739.036</x:v>
      </x:c>
      <x:c r="I123" s="22" t="str">
        <x:f>HYPERLINK("https://etp-aktiv.ru/catalog/materialy/ehlektrotekhnicheskie-materialy/2000551810-U311/","Открыть позицию")</x:f>
        <x:v>Открыть позицию</x:v>
      </x:c>
    </x:row>
    <x:row r="124" ht="28" customHeight="1">
      <x:c r="A124" s="16" t="str">
        <x:v>Кемеровская ГРЭС</x:v>
      </x:c>
      <x:c r="B124" s="16" t="str">
        <x:v>2000540805-U311</x:v>
      </x:c>
      <x:c r="C124" s="16" t="str">
        <x:v>ТЯГОМЕР ТММП-52 М1 (-16-0КПА) У3</x:v>
      </x:c>
      <x:c r="D124" s="16" t="str">
        <x:v>ЗЧ КИПиА</x:v>
      </x:c>
      <x:c r="E124" s="16" t="str">
        <x:v>ШТ</x:v>
      </x:c>
      <x:c r="F124" s="21" t="n">
        <x:v>3</x:v>
      </x:c>
      <x:c r="G124" s="17" t="n">
        <x:v>327.89939999999996</x:v>
      </x:c>
      <x:c r="H124" s="17" t="n">
        <x:f>G124*F124</x:f>
        <x:v>983.6981999999998</x:v>
      </x:c>
      <x:c r="I124" s="22" t="str">
        <x:f>HYPERLINK("https://etp-aktiv.ru/catalog/materialy/zapasnye-chasti-i-prinadlezhnosti-dlya-priborov-kipia/2000540805-U311/","Открыть позицию")</x:f>
        <x:v>Открыть позицию</x:v>
      </x:c>
    </x:row>
    <x:row r="125" ht="28" customHeight="1">
      <x:c r="A125" s="16" t="str">
        <x:v>Кемеровская ГРЭС</x:v>
      </x:c>
      <x:c r="B125" s="16" t="str">
        <x:v>2000130855-U311</x:v>
      </x:c>
      <x:c r="C125" s="16" t="str">
        <x:v>ФОТОРЕЛЕ ФР-7Е 5А IP 20</x:v>
      </x:c>
      <x:c r="D125" s="16" t="str">
        <x:v>Изделия радиоэл/техн</x:v>
      </x:c>
      <x:c r="E125" s="16" t="str">
        <x:v>ШТ</x:v>
      </x:c>
      <x:c r="F125" s="21" t="n">
        <x:v>2</x:v>
      </x:c>
      <x:c r="G125" s="17" t="n">
        <x:v>277.5988</x:v>
      </x:c>
      <x:c r="H125" s="17" t="n">
        <x:f>G125*F125</x:f>
        <x:v>555.1976</x:v>
      </x:c>
      <x:c r="I125" s="22" t="str">
        <x:f>HYPERLINK("https://etp-aktiv.ru/catalog/materialy/prochie-materialy/2000130855-U311/","Открыть позицию")</x:f>
        <x:v>Открыть позицию</x:v>
      </x:c>
    </x:row>
    <x:row r="126" ht="28" customHeight="1">
      <x:c r="A126" s="16" t="str">
        <x:v>Кемеровская ГРЭС</x:v>
      </x:c>
      <x:c r="B126" s="16" t="str">
        <x:v>2000156126-U311</x:v>
      </x:c>
      <x:c r="C126" s="16" t="str">
        <x:v>ШТЕКЕР KRONE 5909 1 063-01</x:v>
      </x:c>
      <x:c r="D126" s="16" t="str">
        <x:v>Комплектующие и запасные части к компьютерному и офисному об</x:v>
      </x:c>
      <x:c r="E126" s="16" t="str">
        <x:v>КМП</x:v>
      </x:c>
      <x:c r="F126" s="21" t="n">
        <x:v>150</x:v>
      </x:c>
      <x:c r="G126" s="17" t="n">
        <x:v>934.8249999999999</x:v>
      </x:c>
      <x:c r="H126" s="17" t="n">
        <x:f>G126*F126</x:f>
        <x:v>140223.75</x:v>
      </x:c>
      <x:c r="I126" s="22" t="str">
        <x:f>HYPERLINK("https://etp-aktiv.ru/catalog/materialy/komplektuyushchie-i-zapasnye-chasti-k-kompyuternomu-i-ofisnomu-oborudovaniyu/2000156126-U311/","Открыть позицию")</x:f>
        <x:v>Открыть позицию</x:v>
      </x:c>
    </x:row>
    <x:row r="127" ht="28" customHeight="1">
      <x:c r="A127" s="16" t="str">
        <x:v>Кемеровская ГРЭС</x:v>
      </x:c>
      <x:c r="B127" s="16" t="str">
        <x:v>2000541308-U311</x:v>
      </x:c>
      <x:c r="C127" s="16" t="str">
        <x:v>ШТУЦЕР ПРИВАРНОЙ ШЦ G1/2 СТ20</x:v>
      </x:c>
      <x:c r="D127" s="16" t="str">
        <x:v>ЗЧ КИПиА</x:v>
      </x:c>
      <x:c r="E127" s="16" t="str">
        <x:v>ШТ</x:v>
      </x:c>
      <x:c r="F127" s="21" t="n">
        <x:v>2</x:v>
      </x:c>
      <x:c r="G127" s="17" t="n">
        <x:v>24.1194</x:v>
      </x:c>
      <x:c r="H127" s="17" t="n">
        <x:f>G127*F127</x:f>
        <x:v>48.2388</x:v>
      </x:c>
      <x:c r="I127" s="22" t="str">
        <x:f>HYPERLINK("https://etp-aktiv.ru/catalog/materialy/zapasnye-chasti-i-prinadlezhnosti-dlya-priborov-kipia/2000541308-U311/","Открыть позицию")</x:f>
        <x:v>Открыть позицию</x:v>
      </x:c>
    </x:row>
    <x:row r="128" ht="28" customHeight="1">
      <x:c r="A128" s="16" t="str">
        <x:v>Кемеровская ГРЭС</x:v>
      </x:c>
      <x:c r="B128" s="16" t="str">
        <x:v>2000537144-U311</x:v>
      </x:c>
      <x:c r="C128" s="16" t="str">
        <x:v>ЩИТ IP31 580*490*165 ЩУРН 3/30 ДВУХДВ</x:v>
      </x:c>
      <x:c r="D128" s="16" t="str">
        <x:v>Низковол апп-ра и ЗЧ</x:v>
      </x:c>
      <x:c r="E128" s="16" t="str">
        <x:v>ШТ</x:v>
      </x:c>
      <x:c r="F128" s="21" t="n">
        <x:v>1</x:v>
      </x:c>
      <x:c r="G128" s="17" t="n">
        <x:v>217.2454</x:v>
      </x:c>
      <x:c r="H128" s="17" t="n">
        <x:f>G128*F128</x:f>
        <x:v>217.2454</x:v>
      </x:c>
      <x:c r="I128" s="22" t="str">
        <x:f>HYPERLINK("https://etp-aktiv.ru/catalog/materialy/nizkovoltnaya-apparatura-i-zapasnye-chasti/2000537144-U311/","Открыть позицию")</x:f>
        <x:v>Открыть позицию</x:v>
      </x:c>
    </x:row>
    <x:row r="129" ht="28" customHeight="1">
      <x:c r="A129" s="16" t="str">
        <x:v>Кемеровская ГРЭС</x:v>
      </x:c>
      <x:c r="B129" s="16" t="str">
        <x:v>M2000552225-U311</x:v>
      </x:c>
      <x:c r="C129" s="16" t="str">
        <x:v>Э/ДВИГ АИРС160М8 11/380/690/IM1081</x:v>
      </x:c>
      <x:c r="D129" s="16" t="str">
        <x:v>Электродвигатели</x:v>
      </x:c>
      <x:c r="E129" s="16" t="str">
        <x:v>ШТ</x:v>
      </x:c>
      <x:c r="F129" s="21" t="n">
        <x:v>1</x:v>
      </x:c>
      <x:c r="G129" s="17" t="n">
        <x:v>3660</x:v>
      </x:c>
      <x:c r="H129" s="17" t="n">
        <x:f>G129*F129</x:f>
        <x:v>3660</x:v>
      </x:c>
      <x:c r="I129" s="22" t="str">
        <x:f>HYPERLINK("https://etp-aktiv.ru/catalog/materialy/ehlektrodvigateli/M2000552225-U311/","Открыть позицию")</x:f>
        <x:v>Открыть позицию</x:v>
      </x:c>
    </x:row>
    <x:row r="130" ht="28" customHeight="1">
      <x:c r="A130" s="16" t="str">
        <x:v>Кемеровская ГРЭС</x:v>
      </x:c>
      <x:c r="B130" s="16" t="str">
        <x:v>2000262154-U311</x:v>
      </x:c>
      <x:c r="C130" s="16" t="str">
        <x:v>ЯЩИК УПР РУСМ5115-2574 IP54 350*260*70</x:v>
      </x:c>
      <x:c r="D130" s="16" t="str">
        <x:v>Низковол апп-ра и ЗЧ</x:v>
      </x:c>
      <x:c r="E130" s="16" t="str">
        <x:v>ШТ</x:v>
      </x:c>
      <x:c r="F130" s="21" t="n">
        <x:v>1</x:v>
      </x:c>
      <x:c r="G130" s="17" t="n">
        <x:v>1186.0595999999998</x:v>
      </x:c>
      <x:c r="H130" s="17" t="n">
        <x:f>G130*F130</x:f>
        <x:v>1186.0595999999998</x:v>
      </x:c>
      <x:c r="I130" s="22" t="str">
        <x:f>HYPERLINK("https://etp-aktiv.ru/catalog/materialy/nizkovoltnaya-apparatura-i-zapasnye-chasti/2000262154-U311/","Открыть позицию")</x:f>
        <x:v>Открыть позицию</x:v>
      </x:c>
    </x:row>
    <x:row r="131" ht="28" customHeight="1">
      <x:c r="A131" s="16" t="str">
        <x:v>Кемеровская ТЭЦ</x:v>
      </x:c>
      <x:c r="B131" s="16" t="str">
        <x:v>2000550093-U312</x:v>
      </x:c>
      <x:c r="C131" s="16" t="str">
        <x:v>БИРКА МАРКИРОВОЧНАЯ КВАДРАТНАЯ БМ ТИП1</x:v>
      </x:c>
      <x:c r="D131" s="16" t="str">
        <x:v>Прочие электротехнические материалы</x:v>
      </x:c>
      <x:c r="E131" s="16" t="str">
        <x:v>ШТ</x:v>
      </x:c>
      <x:c r="F131" s="21" t="n">
        <x:v>430</x:v>
      </x:c>
      <x:c r="G131" s="17" t="n">
        <x:v>0.9882000000000001</x:v>
      </x:c>
      <x:c r="H131" s="17" t="n">
        <x:f>G131*F131</x:f>
        <x:v>424.92600000000004</x:v>
      </x:c>
      <x:c r="I131" s="22" t="str">
        <x:f>HYPERLINK("https://etp-aktiv.ru/catalog/materialy/ehlektrotekhnicheskie-materialy/2000550093-U312/","Открыть позицию")</x:f>
        <x:v>Открыть позицию</x:v>
      </x:c>
    </x:row>
    <x:row r="132" ht="28" customHeight="1">
      <x:c r="A132" s="16" t="str">
        <x:v>Кемеровская ТЭЦ</x:v>
      </x:c>
      <x:c r="B132" s="16" t="str">
        <x:v>2000537040-U312</x:v>
      </x:c>
      <x:c r="C132" s="16" t="str">
        <x:v>БЛОК ПИТАНИЯ DR-4512 12В 3,5А</x:v>
      </x:c>
      <x:c r="D132" s="16" t="str">
        <x:v>Низковольтная аппаратура и запасные части</x:v>
      </x:c>
      <x:c r="E132" s="16" t="str">
        <x:v>ШТ</x:v>
      </x:c>
      <x:c r="F132" s="21" t="n">
        <x:v>2</x:v>
      </x:c>
      <x:c r="G132" s="17" t="n">
        <x:v>1081.53</x:v>
      </x:c>
      <x:c r="H132" s="17" t="n">
        <x:f>G132*F132</x:f>
        <x:v>2163.06</x:v>
      </x:c>
      <x:c r="I132" s="22" t="str">
        <x:f>HYPERLINK("https://etp-aktiv.ru/catalog/materialy/nizkovoltnaya-apparatura-i-zapasnye-chasti/2000537040-U312/","Открыть позицию")</x:f>
        <x:v>Открыть позицию</x:v>
      </x:c>
    </x:row>
    <x:row r="133" ht="28" customHeight="1">
      <x:c r="A133" s="16" t="str">
        <x:v>Кемеровская ТЭЦ</x:v>
      </x:c>
      <x:c r="B133" s="16" t="str">
        <x:v>2000603973-U312</x:v>
      </x:c>
      <x:c r="C133" s="16" t="str">
        <x:v>БЛОК ПИТАНИЯ GS18E24-P1J 0,75А 24В 18ВТ</x:v>
      </x:c>
      <x:c r="D133" s="16" t="str">
        <x:v>Низковольтная аппаратура и запасные части</x:v>
      </x:c>
      <x:c r="E133" s="16" t="str">
        <x:v>ШТ</x:v>
      </x:c>
      <x:c r="F133" s="21" t="n">
        <x:v>4</x:v>
      </x:c>
      <x:c r="G133" s="17" t="n">
        <x:v>704.55</x:v>
      </x:c>
      <x:c r="H133" s="17" t="n">
        <x:f>G133*F133</x:f>
        <x:v>2818.2</x:v>
      </x:c>
      <x:c r="I133" s="22" t="str">
        <x:f>HYPERLINK("https://etp-aktiv.ru/catalog/materialy/nizkovoltnaya-apparatura-i-zapasnye-chasti/2000603973-U312/","Открыть позицию")</x:f>
        <x:v>Открыть позицию</x:v>
      </x:c>
    </x:row>
    <x:row r="134" ht="28" customHeight="1">
      <x:c r="A134" s="16" t="str">
        <x:v>Кемеровская ТЭЦ</x:v>
      </x:c>
      <x:c r="B134" s="16" t="str">
        <x:v>2000568707-U312</x:v>
      </x:c>
      <x:c r="C134" s="16" t="str">
        <x:v>ВИДЕОКАРТА ASUS GT710-SL-2GD5</x:v>
      </x:c>
      <x:c r="D134" s="16" t="str">
        <x:v>Комплектующие и запасные части к компьютерному и офисному об</x:v>
      </x:c>
      <x:c r="E134" s="16" t="str">
        <x:v>ШТ</x:v>
      </x:c>
      <x:c r="F134" s="21" t="n">
        <x:v>1</x:v>
      </x:c>
      <x:c r="G134" s="17" t="n">
        <x:v>6748.125</x:v>
      </x:c>
      <x:c r="H134" s="17" t="n">
        <x:f>G134*F134</x:f>
        <x:v>6748.125</x:v>
      </x:c>
      <x:c r="I134" s="22" t="str">
        <x:f>HYPERLINK("https://etp-aktiv.ru/catalog/materialy/komplektuyushchie-i-zapasnye-chasti-k-kompyuternomu-i-ofisnomu-oborudovaniyu/2000568707-U312/","Открыть позицию")</x:f>
        <x:v>Открыть позицию</x:v>
      </x:c>
    </x:row>
    <x:row r="135" ht="28" customHeight="1">
      <x:c r="A135" s="16" t="str">
        <x:v>Кемеровская ТЭЦ</x:v>
      </x:c>
      <x:c r="B135" s="16" t="str">
        <x:v>2000548773-U312</x:v>
      </x:c>
      <x:c r="C135" s="16" t="str">
        <x:v>ВОЙЛОК ЭЛЕКТРОТЕХНИЧЕСКИЙ 5ММ</x:v>
      </x:c>
      <x:c r="D135" s="16" t="str">
        <x:v>Теплоизоляция</x:v>
      </x:c>
      <x:c r="E135" s="16" t="str">
        <x:v>КГ</x:v>
      </x:c>
      <x:c r="F135" s="29" t="n">
        <x:v>2.5</x:v>
      </x:c>
      <x:c r="G135" s="17" t="n">
        <x:v>1588.5864</x:v>
      </x:c>
      <x:c r="H135" s="17" t="n">
        <x:f>G135*F135</x:f>
        <x:v>3971.466</x:v>
      </x:c>
      <x:c r="I135" s="22" t="str">
        <x:f>HYPERLINK("https://etp-aktiv.ru/catalog/materialy/teploizolyaciya/2000548773-U312/","Открыть позицию")</x:f>
        <x:v>Открыть позицию</x:v>
      </x:c>
    </x:row>
    <x:row r="136" ht="28" customHeight="1">
      <x:c r="A136" s="16" t="str">
        <x:v>Кемеровская ТЭЦ</x:v>
      </x:c>
      <x:c r="B136" s="16" t="str">
        <x:v>2000541562-U312</x:v>
      </x:c>
      <x:c r="C136" s="16" t="str">
        <x:v>ДАТЧИК GS.01.00.00.000</x:v>
      </x:c>
      <x:c r="D136" s="16" t="str">
        <x:v>Запасные части и принадлежности для приборов КИПиА</x:v>
      </x:c>
      <x:c r="E136" s="16" t="str">
        <x:v>ШТ</x:v>
      </x:c>
      <x:c r="F136" s="21" t="n">
        <x:v>7</x:v>
      </x:c>
      <x:c r="G136" s="17" t="n">
        <x:v>3340.665</x:v>
      </x:c>
      <x:c r="H136" s="17" t="n">
        <x:f>G136*F136</x:f>
        <x:v>23384.655</x:v>
      </x:c>
      <x:c r="I136" s="22" t="str">
        <x:f>HYPERLINK("https://etp-aktiv.ru/catalog/materialy/zapasnye-chasti-i-prinadlezhnosti-dlya-priborov-kipia/2000541562-U312/","Открыть позицию")</x:f>
        <x:v>Открыть позицию</x:v>
      </x:c>
    </x:row>
    <x:row r="137" ht="28" customHeight="1">
      <x:c r="A137" s="16" t="str">
        <x:v>Кемеровская ТЭЦ</x:v>
      </x:c>
      <x:c r="B137" s="16" t="str">
        <x:v>2000558724-U312</x:v>
      </x:c>
      <x:c r="C137" s="16" t="str">
        <x:v>ДИСПЛЕЙ ИНФОРМАЦИОН АВТОГРАФ-INFO MINI</x:v>
      </x:c>
      <x:c r="D137" s="16" t="str">
        <x:v>Запасные части и принадлежности для приборов КИПиА</x:v>
      </x:c>
      <x:c r="E137" s="16" t="str">
        <x:v>ШТ</x:v>
      </x:c>
      <x:c r="F137" s="21" t="n">
        <x:v>1</x:v>
      </x:c>
      <x:c r="G137" s="17" t="n">
        <x:v>5414.97</x:v>
      </x:c>
      <x:c r="H137" s="17" t="n">
        <x:f>G137*F137</x:f>
        <x:v>5414.97</x:v>
      </x:c>
      <x:c r="I137" s="22" t="str">
        <x:f>HYPERLINK("https://etp-aktiv.ru/catalog/materialy/zapasnye-chasti-i-prinadlezhnosti-dlya-priborov-kipia/2000558724-U312/","Открыть позицию")</x:f>
        <x:v>Открыть позицию</x:v>
      </x:c>
    </x:row>
    <x:row r="138" ht="28" customHeight="1">
      <x:c r="A138" s="16" t="str">
        <x:v>Кемеровская ТЭЦ</x:v>
      </x:c>
      <x:c r="B138" s="16" t="str">
        <x:v>2000541968-U312</x:v>
      </x:c>
      <x:c r="C138" s="16" t="str">
        <x:v>ЗАДАТЧИК РУЧНОЙ РЗД 12 0-10КОМ</x:v>
      </x:c>
      <x:c r="D138" s="16" t="str">
        <x:v>Запасные части и принадлежности для приборов КИПиА</x:v>
      </x:c>
      <x:c r="E138" s="16" t="str">
        <x:v>ШТ</x:v>
      </x:c>
      <x:c r="F138" s="21" t="n">
        <x:v>4</x:v>
      </x:c>
      <x:c r="G138" s="17" t="n">
        <x:v>2368.935</x:v>
      </x:c>
      <x:c r="H138" s="17" t="n">
        <x:f>G138*F138</x:f>
        <x:v>9475.74</x:v>
      </x:c>
      <x:c r="I138" s="22" t="str">
        <x:f>HYPERLINK("https://etp-aktiv.ru/catalog/materialy/zapasnye-chasti-i-prinadlezhnosti-dlya-priborov-kipia/2000541968-U312/","Открыть позицию")</x:f>
        <x:v>Открыть позицию</x:v>
      </x:c>
    </x:row>
    <x:row r="139" ht="28" customHeight="1">
      <x:c r="A139" s="16" t="str">
        <x:v>Кемеровская ТЭЦ</x:v>
      </x:c>
      <x:c r="B139" s="16" t="str">
        <x:v>2000536371-U312</x:v>
      </x:c>
      <x:c r="C139" s="16" t="str">
        <x:v>ЗАЖИМ НАБОРН ЗН27-16М80-Д/ДУ3 ТИП1(Р3-1)</x:v>
      </x:c>
      <x:c r="D139" s="16" t="str">
        <x:v>Низковольтная аппаратура и запасные части</x:v>
      </x:c>
      <x:c r="E139" s="16" t="str">
        <x:v>ШТ</x:v>
      </x:c>
      <x:c r="F139" s="21" t="n">
        <x:v>60</x:v>
      </x:c>
      <x:c r="G139" s="17" t="n">
        <x:v>34.2332</x:v>
      </x:c>
      <x:c r="H139" s="17" t="n">
        <x:f>G139*F139</x:f>
        <x:v>2053.9919999999997</x:v>
      </x:c>
      <x:c r="I139" s="22" t="str">
        <x:f>HYPERLINK("https://etp-aktiv.ru/catalog/materialy/nizkovoltnaya-apparatura-i-zapasnye-chasti/2000536371-U312/","Открыть позицию")</x:f>
        <x:v>Открыть позицию</x:v>
      </x:c>
    </x:row>
    <x:row r="140" ht="28" customHeight="1">
      <x:c r="A140" s="16" t="str">
        <x:v>Кемеровская ТЭЦ</x:v>
      </x:c>
      <x:c r="B140" s="16" t="str">
        <x:v>2000524355-U312</x:v>
      </x:c>
      <x:c r="C140" s="16" t="str">
        <x:v>ЗАТВОР Ж83-Р1200-01 DN100 PN3</x:v>
      </x:c>
      <x:c r="D140" s="16" t="str">
        <x:v>Запасные части к трансформаторам</x:v>
      </x:c>
      <x:c r="E140" s="16" t="str">
        <x:v>ШТ</x:v>
      </x:c>
      <x:c r="F140" s="21" t="n">
        <x:v>16</x:v>
      </x:c>
      <x:c r="G140" s="17" t="n">
        <x:v>5331.4732</x:v>
      </x:c>
      <x:c r="H140" s="17" t="n">
        <x:f>G140*F140</x:f>
        <x:v>85303.5712</x:v>
      </x:c>
      <x:c r="I140" s="22" t="str">
        <x:f>HYPERLINK("https://etp-aktiv.ru/catalog/materialy/ehlektrotekhnicheskie-materialy/2000524355-U312/","Открыть позицию")</x:f>
        <x:v>Открыть позицию</x:v>
      </x:c>
    </x:row>
    <x:row r="141" ht="28" customHeight="1">
      <x:c r="A141" s="16" t="str">
        <x:v>Кемеровская ТЭЦ</x:v>
      </x:c>
      <x:c r="B141" s="16" t="str">
        <x:v>2000548493-U312</x:v>
      </x:c>
      <x:c r="C141" s="16" t="str">
        <x:v>ИЗОЛЕНТА SAFELINE 9360 15/20 ЧЕРНЫЙ</x:v>
      </x:c>
      <x:c r="D141" s="16" t="str">
        <x:v>Электроизоляционные материалы</x:v>
      </x:c>
      <x:c r="E141" s="16" t="str">
        <x:v>ШТ</x:v>
      </x:c>
      <x:c r="F141" s="21" t="n">
        <x:v>969</x:v>
      </x:c>
      <x:c r="G141" s="17" t="n">
        <x:v>24.3634</x:v>
      </x:c>
      <x:c r="H141" s="17" t="n">
        <x:f>G141*F141</x:f>
        <x:v>23608.134599999998</x:v>
      </x:c>
      <x:c r="I141" s="22" t="str">
        <x:f>HYPERLINK("https://etp-aktiv.ru/catalog/materialy/ehlektroizolyacionnye-materialy/2000548493-U312/","Открыть позицию")</x:f>
        <x:v>Открыть позицию</x:v>
      </x:c>
    </x:row>
    <x:row r="142" ht="28" customHeight="1">
      <x:c r="A142" s="16" t="str">
        <x:v>Кемеровская ТЭЦ</x:v>
      </x:c>
      <x:c r="B142" s="16" t="str">
        <x:v>2000487052-U312</x:v>
      </x:c>
      <x:c r="C142" s="16" t="str">
        <x:v>ИЗОЛЕНТА ДВУСТОР ХБ TDM SQ0526-0502 19ММ</x:v>
      </x:c>
      <x:c r="D142" s="16" t="str">
        <x:v>Электроизоляционные материалы</x:v>
      </x:c>
      <x:c r="E142" s="16" t="str">
        <x:v>ШТ</x:v>
      </x:c>
      <x:c r="F142" s="21" t="n">
        <x:v>20</x:v>
      </x:c>
      <x:c r="G142" s="17" t="n">
        <x:v>27.45</x:v>
      </x:c>
      <x:c r="H142" s="17" t="n">
        <x:f>G142*F142</x:f>
        <x:v>549</x:v>
      </x:c>
      <x:c r="I142" s="22" t="str">
        <x:f>HYPERLINK("https://etp-aktiv.ru/catalog/materialy/ehlektroizolyacionnye-materialy/2000487052-U312/","Открыть позицию")</x:f>
        <x:v>Открыть позицию</x:v>
      </x:c>
    </x:row>
    <x:row r="143" ht="28" customHeight="1">
      <x:c r="A143" s="16" t="str">
        <x:v>Кемеровская ТЭЦ</x:v>
      </x:c>
      <x:c r="B143" s="16" t="str">
        <x:v>2000227359-U312</x:v>
      </x:c>
      <x:c r="C143" s="16" t="str">
        <x:v>ИЗОЛЕНТА ПВХ 15*20ММ ЧЕРНАЯ</x:v>
      </x:c>
      <x:c r="D143" s="16" t="str">
        <x:v>Электроизоляционные материалы</x:v>
      </x:c>
      <x:c r="E143" s="16" t="str">
        <x:v>КГ</x:v>
      </x:c>
      <x:c r="F143" s="29" t="n">
        <x:v>20.99</x:v>
      </x:c>
      <x:c r="G143" s="17" t="n">
        <x:v>155.54999999999998</x:v>
      </x:c>
      <x:c r="H143" s="17" t="n">
        <x:f>G143*F143</x:f>
        <x:v>3264.9944999999993</x:v>
      </x:c>
      <x:c r="I143" s="22" t="str">
        <x:f>HYPERLINK("https://etp-aktiv.ru/catalog/materialy/ehlektroizolyacionnye-materialy/2000227359-U312/","Открыть позицию")</x:f>
        <x:v>Открыть позицию</x:v>
      </x:c>
    </x:row>
    <x:row r="144" ht="28" customHeight="1">
      <x:c r="A144" s="16" t="str">
        <x:v>Кемеровская ТЭЦ</x:v>
      </x:c>
      <x:c r="B144" s="16" t="str">
        <x:v>2000473127-U312</x:v>
      </x:c>
      <x:c r="C144" s="16" t="str">
        <x:v>ИЗОЛЕНТА Х/Б 2ППЛ 15ММ*20М</x:v>
      </x:c>
      <x:c r="D144" s="16" t="str">
        <x:v>Электроизоляционные материалы</x:v>
      </x:c>
      <x:c r="E144" s="16" t="str">
        <x:v>ШТ</x:v>
      </x:c>
      <x:c r="F144" s="21" t="n">
        <x:v>40</x:v>
      </x:c>
      <x:c r="G144" s="17" t="n">
        <x:v>27.0352</x:v>
      </x:c>
      <x:c r="H144" s="17" t="n">
        <x:f>G144*F144</x:f>
        <x:v>1081.408</x:v>
      </x:c>
      <x:c r="I144" s="22" t="str">
        <x:f>HYPERLINK("https://etp-aktiv.ru/catalog/materialy/ehlektroizolyacionnye-materialy/2000473127-U312/","Открыть позицию")</x:f>
        <x:v>Открыть позицию</x:v>
      </x:c>
    </x:row>
    <x:row r="145" ht="28" customHeight="1">
      <x:c r="A145" s="16" t="str">
        <x:v>Кемеровская ТЭЦ</x:v>
      </x:c>
      <x:c r="B145" s="16" t="str">
        <x:v>2000024540-U312</x:v>
      </x:c>
      <x:c r="C145" s="16" t="str">
        <x:v>ИЗОЛЯТОР ОПОРНЫЙ ИОС-35-1000 УХЛ1</x:v>
      </x:c>
      <x:c r="D145" s="16" t="str">
        <x:v>Изоляторы</x:v>
      </x:c>
      <x:c r="E145" s="16" t="str">
        <x:v>ШТ</x:v>
      </x:c>
      <x:c r="F145" s="21" t="n">
        <x:v>50</x:v>
      </x:c>
      <x:c r="G145" s="17" t="n">
        <x:v>3722.037</x:v>
      </x:c>
      <x:c r="H145" s="17" t="n">
        <x:f>G145*F145</x:f>
        <x:v>186101.84999999998</x:v>
      </x:c>
      <x:c r="I145" s="22" t="str">
        <x:f>HYPERLINK("https://etp-aktiv.ru/catalog/materialy/ehlektrotekhnicheskie-materialy/2000024540-U312/","Открыть позицию")</x:f>
        <x:v>Открыть позицию</x:v>
      </x:c>
    </x:row>
    <x:row r="146" ht="28" customHeight="1">
      <x:c r="A146" s="16" t="str">
        <x:v>Кемеровская ТЭЦ</x:v>
      </x:c>
      <x:c r="B146" s="16" t="str">
        <x:v>2000463619-U312</x:v>
      </x:c>
      <x:c r="C146" s="16" t="str">
        <x:v>ИСТОЧНИК ПИТАНИЯ ИВЭПР 12/2 1*7 КЗ</x:v>
      </x:c>
      <x:c r="D146" s="16" t="str">
        <x:v>Низковольтная аппаратура и запасные части</x:v>
      </x:c>
      <x:c r="E146" s="16" t="str">
        <x:v>ШТ</x:v>
      </x:c>
      <x:c r="F146" s="21" t="n">
        <x:v>10</x:v>
      </x:c>
      <x:c r="G146" s="17" t="n">
        <x:v>1753.75</x:v>
      </x:c>
      <x:c r="H146" s="17" t="n">
        <x:f>G146*F146</x:f>
        <x:v>17537.5</x:v>
      </x:c>
      <x:c r="I146" s="22" t="str">
        <x:f>HYPERLINK("https://etp-aktiv.ru/catalog/materialy/nizkovoltnaya-apparatura-i-zapasnye-chasti/2000463619-U312/","Открыть позицию")</x:f>
        <x:v>Открыть позицию</x:v>
      </x:c>
    </x:row>
    <x:row r="147" ht="28" customHeight="1">
      <x:c r="A147" s="16" t="str">
        <x:v>Кемеровская ТЭЦ</x:v>
      </x:c>
      <x:c r="B147" s="16" t="str">
        <x:v>2000118646-U312</x:v>
      </x:c>
      <x:c r="C147" s="16" t="str">
        <x:v>КАРТА СЕТ ACORP L-1000S</x:v>
      </x:c>
      <x:c r="D147" s="16" t="str">
        <x:v>Комплектующие и запасные части к компьютерному и офисному об</x:v>
      </x:c>
      <x:c r="E147" s="16" t="str">
        <x:v>ШТ</x:v>
      </x:c>
      <x:c r="F147" s="21" t="n">
        <x:v>2</x:v>
      </x:c>
      <x:c r="G147" s="17" t="n">
        <x:v>542.9122</x:v>
      </x:c>
      <x:c r="H147" s="17" t="n">
        <x:f>G147*F147</x:f>
        <x:v>1085.8244</x:v>
      </x:c>
      <x:c r="I147" s="22" t="str">
        <x:f>HYPERLINK("https://etp-aktiv.ru/catalog/materialy/komplektuyushchie-i-zapasnye-chasti-k-kompyuternomu-i-ofisnomu-oborudovaniyu/2000118646-U312/","Открыть позицию")</x:f>
        <x:v>Открыть позицию</x:v>
      </x:c>
    </x:row>
    <x:row r="148" ht="28" customHeight="1">
      <x:c r="A148" s="16" t="str">
        <x:v>Кемеровская ТЭЦ</x:v>
      </x:c>
      <x:c r="B148" s="16" t="str">
        <x:v>2000586357-U312</x:v>
      </x:c>
      <x:c r="C148" s="16" t="str">
        <x:v>КОЛЬЦО УПЛОТ НАД ИЗОЛЯТОРОМ М42 62*41*25</x:v>
      </x:c>
      <x:c r="D148" s="16" t="str">
        <x:v>Запасные части к трансформаторам</x:v>
      </x:c>
      <x:c r="E148" s="16" t="str">
        <x:v>ШТ</x:v>
      </x:c>
      <x:c r="F148" s="21" t="n">
        <x:v>12</x:v>
      </x:c>
      <x:c r="G148" s="17" t="n">
        <x:v>193.98</x:v>
      </x:c>
      <x:c r="H148" s="17" t="n">
        <x:f>G148*F148</x:f>
        <x:v>2327.7599999999998</x:v>
      </x:c>
      <x:c r="I148" s="22" t="str">
        <x:f>HYPERLINK("https://etp-aktiv.ru/catalog/materialy/ehlektrotekhnicheskie-materialy/2000586357-U312/","Открыть позицию")</x:f>
        <x:v>Открыть позицию</x:v>
      </x:c>
    </x:row>
    <x:row r="149" ht="28" customHeight="1">
      <x:c r="A149" s="16" t="str">
        <x:v>Кемеровская ТЭЦ</x:v>
      </x:c>
      <x:c r="B149" s="16" t="str">
        <x:v>2000549373-U312</x:v>
      </x:c>
      <x:c r="C149" s="16" t="str">
        <x:v>КОРПУС ЗАЩИТНЫЙ ПЛАСТИК С ФЛАНЦЕМ G313MF</x:v>
      </x:c>
      <x:c r="D149" s="16" t="str">
        <x:v>Изделия радиоэлектронной техники</x:v>
      </x:c>
      <x:c r="E149" s="16" t="str">
        <x:v>ШТ</x:v>
      </x:c>
      <x:c r="F149" s="21" t="n">
        <x:v>4</x:v>
      </x:c>
      <x:c r="G149" s="17" t="n">
        <x:v>476.715</x:v>
      </x:c>
      <x:c r="H149" s="17" t="n">
        <x:f>G149*F149</x:f>
        <x:v>1906.86</x:v>
      </x:c>
      <x:c r="I149" s="22" t="str">
        <x:f>HYPERLINK("https://etp-aktiv.ru/catalog/materialy/prochie-materialy/2000549373-U312/","Открыть позицию")</x:f>
        <x:v>Открыть позицию</x:v>
      </x:c>
    </x:row>
    <x:row r="150" ht="28" customHeight="1">
      <x:c r="A150" s="16" t="str">
        <x:v>Кемеровская ТЭЦ</x:v>
      </x:c>
      <x:c r="B150" s="16" t="str">
        <x:v>2000076875-U312</x:v>
      </x:c>
      <x:c r="C150" s="16" t="str">
        <x:v>ЛАМПА Ж 75-60-1 В22</x:v>
      </x:c>
      <x:c r="D150" s="16" t="str">
        <x:v>Осветительная продукция и изделия электроустановочные</x:v>
      </x:c>
      <x:c r="E150" s="16" t="str">
        <x:v>ШТ</x:v>
      </x:c>
      <x:c r="F150" s="21" t="n">
        <x:v>5</x:v>
      </x:c>
      <x:c r="G150" s="17" t="n">
        <x:v>137.25</x:v>
      </x:c>
      <x:c r="H150" s="17" t="n">
        <x:f>G150*F150</x:f>
        <x:v>686.25</x:v>
      </x:c>
      <x:c r="I150" s="22" t="str">
        <x:f>HYPERLINK("https://etp-aktiv.ru/catalog/materialy/ehlektrotekhnicheskie-materialy/2000076875-U312/","Открыть позицию")</x:f>
        <x:v>Открыть позицию</x:v>
      </x:c>
    </x:row>
    <x:row r="151" ht="28" customHeight="1">
      <x:c r="A151" s="16" t="str">
        <x:v>Кемеровская ТЭЦ</x:v>
      </x:c>
      <x:c r="B151" s="16" t="str">
        <x:v>2000000483-U312</x:v>
      </x:c>
      <x:c r="C151" s="16" t="str">
        <x:v>ЛАМПА КМ 24-90</x:v>
      </x:c>
      <x:c r="D151" s="16" t="str">
        <x:v>Осветительная продукция и изделия электроустановочные</x:v>
      </x:c>
      <x:c r="E151" s="16" t="str">
        <x:v>ШТ</x:v>
      </x:c>
      <x:c r="F151" s="21" t="n">
        <x:v>80</x:v>
      </x:c>
      <x:c r="G151" s="17" t="n">
        <x:v>49.41</x:v>
      </x:c>
      <x:c r="H151" s="17" t="n">
        <x:f>G151*F151</x:f>
        <x:v>3952.7999999999997</x:v>
      </x:c>
      <x:c r="I151" s="22" t="str">
        <x:f>HYPERLINK("https://etp-aktiv.ru/catalog/materialy/ehlektrotekhnicheskie-materialy/2000000483-U312/","Открыть позицию")</x:f>
        <x:v>Открыть позицию</x:v>
      </x:c>
    </x:row>
    <x:row r="152" ht="28" customHeight="1">
      <x:c r="A152" s="16" t="str">
        <x:v>Кемеровская ТЭЦ</x:v>
      </x:c>
      <x:c r="B152" s="16" t="str">
        <x:v>2000243302-U312</x:v>
      </x:c>
      <x:c r="C152" s="16" t="str">
        <x:v>МЕДИАКОНВЕРТЕР MOXA IMC-21-M-SC</x:v>
      </x:c>
      <x:c r="D152" s="16" t="str">
        <x:v>Комплектующие и запасные части к компьютерному и офисному об</x:v>
      </x:c>
      <x:c r="E152" s="16" t="str">
        <x:v>ШТ</x:v>
      </x:c>
      <x:c r="F152" s="21" t="n">
        <x:v>2</x:v>
      </x:c>
      <x:c r="G152" s="17" t="n">
        <x:v>7249.020399999999</x:v>
      </x:c>
      <x:c r="H152" s="17" t="n">
        <x:f>G152*F152</x:f>
        <x:v>14498.040799999999</x:v>
      </x:c>
      <x:c r="I152" s="22" t="str">
        <x:f>HYPERLINK("https://etp-aktiv.ru/catalog/materialy/komplektuyushchie-i-zapasnye-chasti-k-kompyuternomu-i-ofisnomu-oborudovaniyu/2000243302-U312/","Открыть позицию")</x:f>
        <x:v>Открыть позицию</x:v>
      </x:c>
    </x:row>
    <x:row r="153" ht="28" customHeight="1">
      <x:c r="A153" s="16" t="str">
        <x:v>Кемеровская ТЭЦ</x:v>
      </x:c>
      <x:c r="B153" s="16" t="str">
        <x:v>2000524476-U312</x:v>
      </x:c>
      <x:c r="C153" s="16" t="str">
        <x:v>МЕМБРАНА 50196-2512</x:v>
      </x:c>
      <x:c r="D153" s="16" t="str">
        <x:v>Запасные части к выключателям</x:v>
      </x:c>
      <x:c r="E153" s="16" t="str">
        <x:v>ШТ</x:v>
      </x:c>
      <x:c r="F153" s="21" t="n">
        <x:v>5</x:v>
      </x:c>
      <x:c r="G153" s="17" t="n">
        <x:v>237.9</x:v>
      </x:c>
      <x:c r="H153" s="17" t="n">
        <x:f>G153*F153</x:f>
        <x:v>1189.5</x:v>
      </x:c>
      <x:c r="I153" s="22" t="str">
        <x:f>HYPERLINK("https://etp-aktiv.ru/catalog/materialy/ehlektrotekhnicheskie-materialy/2000524476-U312/","Открыть позицию")</x:f>
        <x:v>Открыть позицию</x:v>
      </x:c>
    </x:row>
    <x:row r="154" ht="28" customHeight="1">
      <x:c r="A154" s="16" t="str">
        <x:v>Кемеровская ТЭЦ</x:v>
      </x:c>
      <x:c r="B154" s="16" t="str">
        <x:v>2000536678-U312</x:v>
      </x:c>
      <x:c r="C154" s="16" t="str">
        <x:v>ПЕРЕКЛЮЧАТЕЛЬ M22-WLKV-R 284394</x:v>
      </x:c>
      <x:c r="D154" s="16" t="str">
        <x:v>Низковольтная аппаратура и запасные части</x:v>
      </x:c>
      <x:c r="E154" s="16" t="str">
        <x:v>ШТ</x:v>
      </x:c>
      <x:c r="F154" s="21" t="n">
        <x:v>6</x:v>
      </x:c>
      <x:c r="G154" s="17" t="n">
        <x:v>400.77</x:v>
      </x:c>
      <x:c r="H154" s="17" t="n">
        <x:f>G154*F154</x:f>
        <x:v>2404.62</x:v>
      </x:c>
      <x:c r="I154" s="22" t="str">
        <x:f>HYPERLINK("https://etp-aktiv.ru/catalog/materialy/nizkovoltnaya-apparatura-i-zapasnye-chasti/2000536678-U312/","Открыть позицию")</x:f>
        <x:v>Открыть позицию</x:v>
      </x:c>
    </x:row>
    <x:row r="155" ht="28" customHeight="1">
      <x:c r="A155" s="16" t="str">
        <x:v>Кемеровская ТЭЦ</x:v>
      </x:c>
      <x:c r="B155" s="16" t="str">
        <x:v>2000536679-U312</x:v>
      </x:c>
      <x:c r="C155" s="16" t="str">
        <x:v>ПЕРЕКЛЮЧАТЕЛЬ M22-WLKV-W 284393</x:v>
      </x:c>
      <x:c r="D155" s="16" t="str">
        <x:v>Низковольтная аппаратура и запасные части</x:v>
      </x:c>
      <x:c r="E155" s="16" t="str">
        <x:v>ШТ</x:v>
      </x:c>
      <x:c r="F155" s="21" t="n">
        <x:v>6</x:v>
      </x:c>
      <x:c r="G155" s="17" t="n">
        <x:v>400.77</x:v>
      </x:c>
      <x:c r="H155" s="17" t="n">
        <x:f>G155*F155</x:f>
        <x:v>2404.62</x:v>
      </x:c>
      <x:c r="I155" s="22" t="str">
        <x:f>HYPERLINK("https://etp-aktiv.ru/catalog/materialy/nizkovoltnaya-apparatura-i-zapasnye-chasti/2000536679-U312/","Открыть позицию")</x:f>
        <x:v>Открыть позицию</x:v>
      </x:c>
    </x:row>
    <x:row r="156" ht="28" customHeight="1">
      <x:c r="A156" s="16" t="str">
        <x:v>Кемеровская ТЭЦ</x:v>
      </x:c>
      <x:c r="B156" s="16" t="str">
        <x:v>2000439661-U312</x:v>
      </x:c>
      <x:c r="C156" s="16" t="str">
        <x:v>ПЕРЕКЛЮЧАТЕЛЬ MOXA EDS-308-T</x:v>
      </x:c>
      <x:c r="D156" s="16" t="str">
        <x:v>Комплектующие и запасные части к компьютерному и офисному об</x:v>
      </x:c>
      <x:c r="E156" s="16" t="str">
        <x:v>ШТ</x:v>
      </x:c>
      <x:c r="F156" s="21" t="n">
        <x:v>1</x:v>
      </x:c>
      <x:c r="G156" s="17" t="n">
        <x:v>13065.736400000002</x:v>
      </x:c>
      <x:c r="H156" s="17" t="n">
        <x:f>G156*F156</x:f>
        <x:v>13065.736400000002</x:v>
      </x:c>
      <x:c r="I156" s="22" t="str">
        <x:f>HYPERLINK("https://etp-aktiv.ru/catalog/materialy/komplektuyushchie-i-zapasnye-chasti-k-kompyuternomu-i-ofisnomu-oborudovaniyu/2000439661-U312/","Открыть позицию")</x:f>
        <x:v>Открыть позицию</x:v>
      </x:c>
    </x:row>
    <x:row r="157" ht="28" customHeight="1">
      <x:c r="A157" s="16" t="str">
        <x:v>Кемеровская ТЭЦ</x:v>
      </x:c>
      <x:c r="B157" s="16" t="str">
        <x:v>2000548567-U312</x:v>
      </x:c>
      <x:c r="C157" s="16" t="str">
        <x:v>ПЛАСТИКАТ ПВХ ПП-В 3ММ</x:v>
      </x:c>
      <x:c r="D157" s="16" t="str">
        <x:v>Электроизоляционные материалы</x:v>
      </x:c>
      <x:c r="E157" s="16" t="str">
        <x:v>КГ</x:v>
      </x:c>
      <x:c r="F157" s="29" t="n">
        <x:v>51.5</x:v>
      </x:c>
      <x:c r="G157" s="17" t="n">
        <x:v>448.91119999999995</x:v>
      </x:c>
      <x:c r="H157" s="17" t="n">
        <x:f>G157*F157</x:f>
        <x:v>23118.926799999997</x:v>
      </x:c>
      <x:c r="I157" s="22" t="str">
        <x:f>HYPERLINK("https://etp-aktiv.ru/catalog/materialy/ehlektroizolyacionnye-materialy/2000548567-U312/","Открыть позицию")</x:f>
        <x:v>Открыть позицию</x:v>
      </x:c>
    </x:row>
    <x:row r="158" ht="28" customHeight="1">
      <x:c r="A158" s="16" t="str">
        <x:v>Кемеровская ТЭЦ</x:v>
      </x:c>
      <x:c r="B158" s="16" t="str">
        <x:v>2000548568-U312</x:v>
      </x:c>
      <x:c r="C158" s="16" t="str">
        <x:v>ПЛАСТИКАТ ПВХ ПП-В 4ММ</x:v>
      </x:c>
      <x:c r="D158" s="16" t="str">
        <x:v>Электроизоляционные материалы</x:v>
      </x:c>
      <x:c r="E158" s="16" t="str">
        <x:v>КГ</x:v>
      </x:c>
      <x:c r="F158" s="29" t="n">
        <x:v>12.989</x:v>
      </x:c>
      <x:c r="G158" s="17" t="n">
        <x:v>230.0066</x:v>
      </x:c>
      <x:c r="H158" s="17" t="n">
        <x:f>G158*F158</x:f>
        <x:v>2987.5557274000003</x:v>
      </x:c>
      <x:c r="I158" s="22" t="str">
        <x:f>HYPERLINK("https://etp-aktiv.ru/catalog/materialy/ehlektroizolyacionnye-materialy/2000548568-U312/","Открыть позицию")</x:f>
        <x:v>Открыть позицию</x:v>
      </x:c>
    </x:row>
    <x:row r="159" ht="28" customHeight="1">
      <x:c r="A159" s="16" t="str">
        <x:v>Кемеровская ТЭЦ</x:v>
      </x:c>
      <x:c r="B159" s="16" t="str">
        <x:v>2000548579-U312</x:v>
      </x:c>
      <x:c r="C159" s="16" t="str">
        <x:v>ПЛЕНКА Ф-4 ЭО СОРТ 1 0,03*25 ГОСТ24222</x:v>
      </x:c>
      <x:c r="D159" s="16" t="str">
        <x:v>Электроизоляционные материалы</x:v>
      </x:c>
      <x:c r="E159" s="16" t="str">
        <x:v>КГ</x:v>
      </x:c>
      <x:c r="F159" s="21" t="n">
        <x:v>2</x:v>
      </x:c>
      <x:c r="G159" s="17" t="n">
        <x:v>1042.6486</x:v>
      </x:c>
      <x:c r="H159" s="17" t="n">
        <x:f>G159*F159</x:f>
        <x:v>2085.2972</x:v>
      </x:c>
      <x:c r="I159" s="22" t="str">
        <x:f>HYPERLINK("https://etp-aktiv.ru/catalog/materialy/ehlektroizolyacionnye-materialy/2000548579-U312/","Открыть позицию")</x:f>
        <x:v>Открыть позицию</x:v>
      </x:c>
    </x:row>
    <x:row r="160" ht="28" customHeight="1">
      <x:c r="A160" s="16" t="str">
        <x:v>Кемеровская ТЭЦ</x:v>
      </x:c>
      <x:c r="B160" s="16" t="str">
        <x:v>2000002224-U312</x:v>
      </x:c>
      <x:c r="C160" s="16" t="str">
        <x:v>ПРОКЛАДКА 8БП 372.281 ВМПЭ-10-630</x:v>
      </x:c>
      <x:c r="D160" s="16" t="str">
        <x:v>Прочие электротехнические материалы</x:v>
      </x:c>
      <x:c r="E160" s="16" t="str">
        <x:v>ШТ</x:v>
      </x:c>
      <x:c r="F160" s="21" t="n">
        <x:v>39</x:v>
      </x:c>
      <x:c r="G160" s="17" t="n">
        <x:v>44.0054</x:v>
      </x:c>
      <x:c r="H160" s="17" t="n">
        <x:f>G160*F160</x:f>
        <x:v>1716.2106</x:v>
      </x:c>
      <x:c r="I160" s="22" t="str">
        <x:f>HYPERLINK("https://etp-aktiv.ru/catalog/materialy/ehlektrotekhnicheskie-materialy/2000002224-U312/","Открыть позицию")</x:f>
        <x:v>Открыть позицию</x:v>
      </x:c>
    </x:row>
    <x:row r="161" ht="28" customHeight="1">
      <x:c r="A161" s="16" t="str">
        <x:v>Кемеровская ТЭЦ</x:v>
      </x:c>
      <x:c r="B161" s="16" t="str">
        <x:v>2000524509-U312</x:v>
      </x:c>
      <x:c r="C161" s="16" t="str">
        <x:v>ПРОКЛАДКА 8СЯ.370.145</x:v>
      </x:c>
      <x:c r="D161" s="16" t="str">
        <x:v>Запасные части к выключателям</x:v>
      </x:c>
      <x:c r="E161" s="16" t="str">
        <x:v>ШТ</x:v>
      </x:c>
      <x:c r="F161" s="21" t="n">
        <x:v>17</x:v>
      </x:c>
      <x:c r="G161" s="17" t="n">
        <x:v>45.6036</x:v>
      </x:c>
      <x:c r="H161" s="17" t="n">
        <x:f>G161*F161</x:f>
        <x:v>775.2612</x:v>
      </x:c>
      <x:c r="I161" s="22" t="str">
        <x:f>HYPERLINK("https://etp-aktiv.ru/catalog/materialy/ehlektrotekhnicheskie-materialy/2000524509-U312/","Открыть позицию")</x:f>
        <x:v>Открыть позицию</x:v>
      </x:c>
    </x:row>
    <x:row r="162" ht="28" customHeight="1">
      <x:c r="A162" s="16" t="str">
        <x:v>Кемеровская ТЭЦ</x:v>
      </x:c>
      <x:c r="B162" s="16" t="str">
        <x:v>2000524510-U312</x:v>
      </x:c>
      <x:c r="C162" s="16" t="str">
        <x:v>ПРОКЛАДКА 8СЯ.371.181</x:v>
      </x:c>
      <x:c r="D162" s="16" t="str">
        <x:v>Запасные части к выключателям</x:v>
      </x:c>
      <x:c r="E162" s="16" t="str">
        <x:v>ШТ</x:v>
      </x:c>
      <x:c r="F162" s="21" t="n">
        <x:v>3</x:v>
      </x:c>
      <x:c r="G162" s="17" t="n">
        <x:v>82.35</x:v>
      </x:c>
      <x:c r="H162" s="17" t="n">
        <x:f>G162*F162</x:f>
        <x:v>247.04999999999998</x:v>
      </x:c>
      <x:c r="I162" s="22" t="str">
        <x:f>HYPERLINK("https://etp-aktiv.ru/catalog/materialy/ehlektrotekhnicheskie-materialy/2000524510-U312/","Открыть позицию")</x:f>
        <x:v>Открыть позицию</x:v>
      </x:c>
    </x:row>
    <x:row r="163" ht="28" customHeight="1">
      <x:c r="A163" s="16" t="str">
        <x:v>Кемеровская ТЭЦ</x:v>
      </x:c>
      <x:c r="B163" s="16" t="str">
        <x:v>2000282162-U312</x:v>
      </x:c>
      <x:c r="C163" s="16" t="str">
        <x:v>ПРОКЛАДКА ВМТ-110Б-25 8СЯ 766.068 2000А</x:v>
      </x:c>
      <x:c r="D163" s="16" t="str">
        <x:v>Запасные части к выключателям</x:v>
      </x:c>
      <x:c r="E163" s="16" t="str">
        <x:v>ШТ</x:v>
      </x:c>
      <x:c r="F163" s="21" t="n">
        <x:v>21</x:v>
      </x:c>
      <x:c r="G163" s="17" t="n">
        <x:v>64.05</x:v>
      </x:c>
      <x:c r="H163" s="17" t="n">
        <x:f>G163*F163</x:f>
        <x:v>1345.05</x:v>
      </x:c>
      <x:c r="I163" s="22" t="str">
        <x:f>HYPERLINK("https://etp-aktiv.ru/catalog/materialy/ehlektrotekhnicheskie-materialy/2000282162-U312/","Открыть позицию")</x:f>
        <x:v>Открыть позицию</x:v>
      </x:c>
    </x:row>
    <x:row r="164" ht="28" customHeight="1">
      <x:c r="A164" s="16" t="str">
        <x:v>Кемеровская ТЭЦ</x:v>
      </x:c>
      <x:c r="B164" s="16" t="str">
        <x:v>2000488296-U312</x:v>
      </x:c>
      <x:c r="C164" s="16" t="str">
        <x:v>РАСШИРИТЕЛЬ АДРЕСНЫЙ С2000-АР8</x:v>
      </x:c>
      <x:c r="D164" s="16" t="str">
        <x:v>Запасные части и принадлежности для приборов КИПиА</x:v>
      </x:c>
      <x:c r="E164" s="16" t="str">
        <x:v>ШТ</x:v>
      </x:c>
      <x:c r="F164" s="21" t="n">
        <x:v>8</x:v>
      </x:c>
      <x:c r="G164" s="17" t="n">
        <x:v>2192.1814</x:v>
      </x:c>
      <x:c r="H164" s="17" t="n">
        <x:f>G164*F164</x:f>
        <x:v>17537.4512</x:v>
      </x:c>
      <x:c r="I164" s="22" t="str">
        <x:f>HYPERLINK("https://etp-aktiv.ru/catalog/materialy/zapasnye-chasti-i-prinadlezhnosti-dlya-priborov-kipia/2000488296-U312/","Открыть позицию")</x:f>
        <x:v>Открыть позицию</x:v>
      </x:c>
    </x:row>
    <x:row r="165" ht="28" customHeight="1">
      <x:c r="A165" s="16" t="str">
        <x:v>Кемеровская ТЭЦ</x:v>
      </x:c>
      <x:c r="B165" s="16" t="str">
        <x:v>2000178095-U312</x:v>
      </x:c>
      <x:c r="C165" s="16" t="str">
        <x:v>РЕЛЕ РВ-01УХЛ4 220В</x:v>
      </x:c>
      <x:c r="D165" s="16" t="str">
        <x:v>Низковольтная аппаратура и запасные части</x:v>
      </x:c>
      <x:c r="E165" s="16" t="str">
        <x:v>ШТ</x:v>
      </x:c>
      <x:c r="F165" s="21" t="n">
        <x:v>10</x:v>
      </x:c>
      <x:c r="G165" s="17" t="n">
        <x:v>2336.2146000000002</x:v>
      </x:c>
      <x:c r="H165" s="17" t="n">
        <x:f>G165*F165</x:f>
        <x:v>23362.146</x:v>
      </x:c>
      <x:c r="I165" s="22" t="str">
        <x:f>HYPERLINK("https://etp-aktiv.ru/catalog/materialy/nizkovoltnaya-apparatura-i-zapasnye-chasti/2000178095-U312/","Открыть позицию")</x:f>
        <x:v>Открыть позицию</x:v>
      </x:c>
    </x:row>
    <x:row r="166" ht="28" customHeight="1">
      <x:c r="A166" s="16" t="str">
        <x:v>Кемеровская ТЭЦ</x:v>
      </x:c>
      <x:c r="B166" s="16" t="str">
        <x:v>2000632741-U312</x:v>
      </x:c>
      <x:c r="C166" s="16" t="str">
        <x:v>РЕЛЕ РУ-21 УХЛ4 П/П 0,5А</x:v>
      </x:c>
      <x:c r="D166" s="16" t="str">
        <x:v>Низковольтная аппаратура и запасные части</x:v>
      </x:c>
      <x:c r="E166" s="16" t="str">
        <x:v>ШТ</x:v>
      </x:c>
      <x:c r="F166" s="21" t="n">
        <x:v>8</x:v>
      </x:c>
      <x:c r="G166" s="17" t="n">
        <x:v>683.9685999999999</x:v>
      </x:c>
      <x:c r="H166" s="17" t="n">
        <x:f>G166*F166</x:f>
        <x:v>5471.748799999999</x:v>
      </x:c>
      <x:c r="I166" s="22" t="str">
        <x:f>HYPERLINK("https://etp-aktiv.ru/catalog/materialy/nizkovoltnaya-apparatura-i-zapasnye-chasti/2000632741-U312/","Открыть позицию")</x:f>
        <x:v>Открыть позицию</x:v>
      </x:c>
    </x:row>
    <x:row r="167" ht="28" customHeight="1">
      <x:c r="A167" s="16" t="str">
        <x:v>Кемеровская ТЭЦ</x:v>
      </x:c>
      <x:c r="B167" s="16" t="str">
        <x:v>2000524544-U312</x:v>
      </x:c>
      <x:c r="C167" s="16" t="str">
        <x:v>РОЛИК 8БП.221.053</x:v>
      </x:c>
      <x:c r="D167" s="16" t="str">
        <x:v>Запасные части к выключателям</x:v>
      </x:c>
      <x:c r="E167" s="16" t="str">
        <x:v>ШТ</x:v>
      </x:c>
      <x:c r="F167" s="21" t="n">
        <x:v>48</x:v>
      </x:c>
      <x:c r="G167" s="17" t="n">
        <x:v>118.95</x:v>
      </x:c>
      <x:c r="H167" s="17" t="n">
        <x:f>G167*F167</x:f>
        <x:v>5709.6</x:v>
      </x:c>
      <x:c r="I167" s="22" t="str">
        <x:f>HYPERLINK("https://etp-aktiv.ru/catalog/materialy/ehlektrotekhnicheskie-materialy/2000524544-U312/","Открыть позицию")</x:f>
        <x:v>Открыть позицию</x:v>
      </x:c>
    </x:row>
    <x:row r="168" ht="28" customHeight="1">
      <x:c r="A168" s="16" t="str">
        <x:v>Кемеровская ТЭЦ</x:v>
      </x:c>
      <x:c r="B168" s="16" t="str">
        <x:v>2000524550-U312</x:v>
      </x:c>
      <x:c r="C168" s="16" t="str">
        <x:v>СЕРЬГА КОМПЛЕКТОВАЯ 5БП.471.019-2</x:v>
      </x:c>
      <x:c r="D168" s="16" t="str">
        <x:v>Запасные части к выключателям</x:v>
      </x:c>
      <x:c r="E168" s="16" t="str">
        <x:v>ШТ</x:v>
      </x:c>
      <x:c r="F168" s="21" t="n">
        <x:v>6</x:v>
      </x:c>
      <x:c r="G168" s="17" t="n">
        <x:v>466.65</x:v>
      </x:c>
      <x:c r="H168" s="17" t="n">
        <x:f>G168*F168</x:f>
        <x:v>2799.8999999999996</x:v>
      </x:c>
      <x:c r="I168" s="22" t="str">
        <x:f>HYPERLINK("https://etp-aktiv.ru/catalog/materialy/ehlektrotekhnicheskie-materialy/2000524550-U312/","Открыть позицию")</x:f>
        <x:v>Открыть позицию</x:v>
      </x:c>
    </x:row>
    <x:row r="169" ht="28" customHeight="1">
      <x:c r="A169" s="16" t="str">
        <x:v>Кемеровская ТЭЦ</x:v>
      </x:c>
      <x:c r="B169" s="16" t="str">
        <x:v>2000572519-U312</x:v>
      </x:c>
      <x:c r="C169" s="16" t="str">
        <x:v>СОБАЧКА 5БП.272.012 ВМП-10</x:v>
      </x:c>
      <x:c r="D169" s="16" t="str">
        <x:v>Запасные части к выключателям</x:v>
      </x:c>
      <x:c r="E169" s="16" t="str">
        <x:v>ШТ</x:v>
      </x:c>
      <x:c r="F169" s="21" t="n">
        <x:v>3</x:v>
      </x:c>
      <x:c r="G169" s="17" t="n">
        <x:v>914.634</x:v>
      </x:c>
      <x:c r="H169" s="17" t="n">
        <x:f>G169*F169</x:f>
        <x:v>2743.902</x:v>
      </x:c>
      <x:c r="I169" s="22" t="str">
        <x:f>HYPERLINK("https://etp-aktiv.ru/catalog/materialy/ehlektrotekhnicheskie-materialy/2000572519-U312/","Открыть позицию")</x:f>
        <x:v>Открыть позицию</x:v>
      </x:c>
    </x:row>
    <x:row r="170" ht="28" customHeight="1">
      <x:c r="A170" s="16" t="str">
        <x:v>Кемеровская ТЭЦ</x:v>
      </x:c>
      <x:c r="B170" s="16" t="str">
        <x:v>2000450593-U312</x:v>
      </x:c>
      <x:c r="C170" s="16" t="str">
        <x:v>СТ/ТЕКСТОЛИТ СТЭФ-1 40ММ ГОСТ12652-74</x:v>
      </x:c>
      <x:c r="D170" s="16" t="str">
        <x:v>Электроизоляционные материалы</x:v>
      </x:c>
      <x:c r="E170" s="16" t="str">
        <x:v>КГ</x:v>
      </x:c>
      <x:c r="F170" s="29" t="n">
        <x:v>84.9</x:v>
      </x:c>
      <x:c r="G170" s="17" t="n">
        <x:v>251.07600000000002</x:v>
      </x:c>
      <x:c r="H170" s="17" t="n">
        <x:f>G170*F170</x:f>
        <x:v>21316.352400000003</x:v>
      </x:c>
      <x:c r="I170" s="22" t="str">
        <x:f>HYPERLINK("https://etp-aktiv.ru/catalog/materialy/ehlektroizolyacionnye-materialy/2000450593-U312/","Открыть позицию")</x:f>
        <x:v>Открыть позицию</x:v>
      </x:c>
    </x:row>
    <x:row r="171" ht="28" customHeight="1">
      <x:c r="A171" s="16" t="str">
        <x:v>Кемеровская ТЭЦ</x:v>
      </x:c>
      <x:c r="B171" s="16" t="str">
        <x:v>2000548605-U312</x:v>
      </x:c>
      <x:c r="C171" s="16" t="str">
        <x:v>СТ/ТЕКСТОЛИТ СТЭФ-У 0,5ММ</x:v>
      </x:c>
      <x:c r="D171" s="16" t="str">
        <x:v>Электроизоляционные материалы</x:v>
      </x:c>
      <x:c r="E171" s="16" t="str">
        <x:v>КГ</x:v>
      </x:c>
      <x:c r="F171" s="30" t="n">
        <x:v>0.5</x:v>
      </x:c>
      <x:c r="G171" s="17" t="n">
        <x:v>279.075</x:v>
      </x:c>
      <x:c r="H171" s="17" t="n">
        <x:f>G171*F171</x:f>
        <x:v>139.5375</x:v>
      </x:c>
      <x:c r="I171" s="22" t="str">
        <x:f>HYPERLINK("https://etp-aktiv.ru/catalog/materialy/ehlektroizolyacionnye-materialy/2000548605-U312/","Открыть позицию")</x:f>
        <x:v>Открыть позицию</x:v>
      </x:c>
    </x:row>
    <x:row r="172" ht="28" customHeight="1">
      <x:c r="A172" s="16" t="str">
        <x:v>Кемеровская ТЭЦ</x:v>
      </x:c>
      <x:c r="B172" s="16" t="str">
        <x:v>2000548606-U312</x:v>
      </x:c>
      <x:c r="C172" s="16" t="str">
        <x:v>СТ/ТЕКСТОЛИТ СТЭФ-У 1,0ММ</x:v>
      </x:c>
      <x:c r="D172" s="16" t="str">
        <x:v>Электроизоляционные материалы</x:v>
      </x:c>
      <x:c r="E172" s="16" t="str">
        <x:v>КГ</x:v>
      </x:c>
      <x:c r="F172" s="30" t="n">
        <x:v>0.4</x:v>
      </x:c>
      <x:c r="G172" s="17" t="n">
        <x:v>242.475</x:v>
      </x:c>
      <x:c r="H172" s="17" t="n">
        <x:f>G172*F172</x:f>
        <x:v>96.99000000000001</x:v>
      </x:c>
      <x:c r="I172" s="22" t="str">
        <x:f>HYPERLINK("https://etp-aktiv.ru/catalog/materialy/ehlektroizolyacionnye-materialy/2000548606-U312/","Открыть позицию")</x:f>
        <x:v>Открыть позицию</x:v>
      </x:c>
    </x:row>
    <x:row r="173" ht="28" customHeight="1">
      <x:c r="A173" s="16" t="str">
        <x:v>Кемеровская ТЭЦ</x:v>
      </x:c>
      <x:c r="B173" s="16" t="str">
        <x:v>2000524565-U312</x:v>
      </x:c>
      <x:c r="C173" s="16" t="str">
        <x:v>СТЕРЖЕНЬ 8БП.173.151 НЕП НАПР 0,63-1КА</x:v>
      </x:c>
      <x:c r="D173" s="16" t="str">
        <x:v>Запасные части к выключателям</x:v>
      </x:c>
      <x:c r="E173" s="16" t="str">
        <x:v>ШТ</x:v>
      </x:c>
      <x:c r="F173" s="21" t="n">
        <x:v>60</x:v>
      </x:c>
      <x:c r="G173" s="17" t="n">
        <x:v>1967.25</x:v>
      </x:c>
      <x:c r="H173" s="17" t="n">
        <x:f>G173*F173</x:f>
        <x:v>118035</x:v>
      </x:c>
      <x:c r="I173" s="22" t="str">
        <x:f>HYPERLINK("https://etp-aktiv.ru/catalog/materialy/ehlektrotekhnicheskie-materialy/2000524565-U312/","Открыть позицию")</x:f>
        <x:v>Открыть позицию</x:v>
      </x:c>
    </x:row>
    <x:row r="174" ht="28" customHeight="1">
      <x:c r="A174" s="16" t="str">
        <x:v>Кемеровская ТЭЦ</x:v>
      </x:c>
      <x:c r="B174" s="16" t="str">
        <x:v>2000524566-U312</x:v>
      </x:c>
      <x:c r="C174" s="16" t="str">
        <x:v>СТЕРЖЕНЬ 8БП.173.151-01</x:v>
      </x:c>
      <x:c r="D174" s="16" t="str">
        <x:v>Запасные части к выключателям</x:v>
      </x:c>
      <x:c r="E174" s="16" t="str">
        <x:v>ШТ</x:v>
      </x:c>
      <x:c r="F174" s="21" t="n">
        <x:v>30</x:v>
      </x:c>
      <x:c r="G174" s="17" t="n">
        <x:v>1950.9752</x:v>
      </x:c>
      <x:c r="H174" s="17" t="n">
        <x:f>G174*F174</x:f>
        <x:v>58529.256</x:v>
      </x:c>
      <x:c r="I174" s="22" t="str">
        <x:f>HYPERLINK("https://etp-aktiv.ru/catalog/materialy/ehlektrotekhnicheskie-materialy/2000524566-U312/","Открыть позицию")</x:f>
        <x:v>Открыть позицию</x:v>
      </x:c>
    </x:row>
    <x:row r="175" ht="28" customHeight="1">
      <x:c r="A175" s="16" t="str">
        <x:v>Кемеровская ТЭЦ</x:v>
      </x:c>
      <x:c r="B175" s="16" t="str">
        <x:v>2000524569-U312</x:v>
      </x:c>
      <x:c r="C175" s="16" t="str">
        <x:v>СТЕРЖЕНЬ НАПРАВЛ 8БП.173.629-03</x:v>
      </x:c>
      <x:c r="D175" s="16" t="str">
        <x:v>Запасные части к выключателям</x:v>
      </x:c>
      <x:c r="E175" s="16" t="str">
        <x:v>ШТ</x:v>
      </x:c>
      <x:c r="F175" s="21" t="n">
        <x:v>48</x:v>
      </x:c>
      <x:c r="G175" s="17" t="n">
        <x:v>3235.44</x:v>
      </x:c>
      <x:c r="H175" s="17" t="n">
        <x:f>G175*F175</x:f>
        <x:v>155301.12</x:v>
      </x:c>
      <x:c r="I175" s="22" t="str">
        <x:f>HYPERLINK("https://etp-aktiv.ru/catalog/materialy/ehlektrotekhnicheskie-materialy/2000524569-U312/","Открыть позицию")</x:f>
        <x:v>Открыть позицию</x:v>
      </x:c>
    </x:row>
    <x:row r="176" ht="28" customHeight="1">
      <x:c r="A176" s="16" t="str">
        <x:v>Кемеровская ТЭЦ</x:v>
      </x:c>
      <x:c r="B176" s="16" t="str">
        <x:v>2000524558-U312</x:v>
      </x:c>
      <x:c r="C176" s="16" t="str">
        <x:v>СТЕРЖЕНЬ ТОКОВЕДУЩ 5БП.540.514-01</x:v>
      </x:c>
      <x:c r="D176" s="16" t="str">
        <x:v>Запасные части к выключателям</x:v>
      </x:c>
      <x:c r="E176" s="16" t="str">
        <x:v>ШТ</x:v>
      </x:c>
      <x:c r="F176" s="21" t="n">
        <x:v>15</x:v>
      </x:c>
      <x:c r="G176" s="17" t="n">
        <x:v>4853.16</x:v>
      </x:c>
      <x:c r="H176" s="17" t="n">
        <x:f>G176*F176</x:f>
        <x:v>72797.4</x:v>
      </x:c>
      <x:c r="I176" s="22" t="str">
        <x:f>HYPERLINK("https://etp-aktiv.ru/catalog/materialy/ehlektrotekhnicheskie-materialy/2000524558-U312/","Открыть позицию")</x:f>
        <x:v>Открыть позицию</x:v>
      </x:c>
    </x:row>
    <x:row r="177" ht="28" customHeight="1">
      <x:c r="A177" s="16" t="str">
        <x:v>Кемеровская ТЭЦ</x:v>
      </x:c>
      <x:c r="B177" s="16" t="str">
        <x:v>2000571292-U312</x:v>
      </x:c>
      <x:c r="C177" s="16" t="str">
        <x:v>ТИРИСТОР Т 123-200-16</x:v>
      </x:c>
      <x:c r="D177" s="16" t="str">
        <x:v>Изделия радиоэлектронной техники</x:v>
      </x:c>
      <x:c r="E177" s="16" t="str">
        <x:v>ШТ</x:v>
      </x:c>
      <x:c r="F177" s="21" t="n">
        <x:v>27</x:v>
      </x:c>
      <x:c r="G177" s="17" t="n">
        <x:v>921.8686</x:v>
      </x:c>
      <x:c r="H177" s="17" t="n">
        <x:f>G177*F177</x:f>
        <x:v>24890.4522</x:v>
      </x:c>
      <x:c r="I177" s="22" t="str">
        <x:f>HYPERLINK("https://etp-aktiv.ru/catalog/materialy/prochie-materialy/2000571292-U312/","Открыть позицию")</x:f>
        <x:v>Открыть позицию</x:v>
      </x:c>
    </x:row>
    <x:row r="178" ht="28" customHeight="1">
      <x:c r="A178" s="16" t="str">
        <x:v>Кемеровская ТЭЦ</x:v>
      </x:c>
      <x:c r="B178" s="16" t="str">
        <x:v>2000524594-U312</x:v>
      </x:c>
      <x:c r="C178" s="16" t="str">
        <x:v>УПЛОТНЕНИЕ 8БП.372.626</x:v>
      </x:c>
      <x:c r="D178" s="16" t="str">
        <x:v>Запасные части к выключателям</x:v>
      </x:c>
      <x:c r="E178" s="16" t="str">
        <x:v>ШТ</x:v>
      </x:c>
      <x:c r="F178" s="21" t="n">
        <x:v>69</x:v>
      </x:c>
      <x:c r="G178" s="17" t="n">
        <x:v>24.339</x:v>
      </x:c>
      <x:c r="H178" s="17" t="n">
        <x:f>G178*F178</x:f>
        <x:v>1679.3909999999998</x:v>
      </x:c>
      <x:c r="I178" s="22" t="str">
        <x:f>HYPERLINK("https://etp-aktiv.ru/catalog/materialy/ehlektrotekhnicheskie-materialy/2000524594-U312/","Открыть позицию")</x:f>
        <x:v>Открыть позицию</x:v>
      </x:c>
    </x:row>
    <x:row r="179" ht="28" customHeight="1">
      <x:c r="A179" s="16" t="str">
        <x:v>Кемеровская ТЭЦ</x:v>
      </x:c>
      <x:c r="B179" s="16" t="str">
        <x:v>2000524606-U312</x:v>
      </x:c>
      <x:c r="C179" s="16" t="str">
        <x:v>УПЛОТНЕНИТЕЛЬ 50196.1605 272*8</x:v>
      </x:c>
      <x:c r="D179" s="16" t="str">
        <x:v>Запасные части к выключателям</x:v>
      </x:c>
      <x:c r="E179" s="16" t="str">
        <x:v>ШТ</x:v>
      </x:c>
      <x:c r="F179" s="21" t="n">
        <x:v>2</x:v>
      </x:c>
      <x:c r="G179" s="17" t="n">
        <x:v>376.98</x:v>
      </x:c>
      <x:c r="H179" s="17" t="n">
        <x:f>G179*F179</x:f>
        <x:v>753.96</x:v>
      </x:c>
      <x:c r="I179" s="22" t="str">
        <x:f>HYPERLINK("https://etp-aktiv.ru/catalog/materialy/ehlektrotekhnicheskie-materialy/2000524606-U312/","Открыть позицию")</x:f>
        <x:v>Открыть позицию</x:v>
      </x:c>
    </x:row>
    <x:row r="180" ht="28" customHeight="1">
      <x:c r="A180" s="16" t="str">
        <x:v>Кемеровская ТЭЦ</x:v>
      </x:c>
      <x:c r="B180" s="16" t="str">
        <x:v>2000177505-U312</x:v>
      </x:c>
      <x:c r="C180" s="16" t="str">
        <x:v>ЭЛЕКТРОКАРТОН А 0,5ММ</x:v>
      </x:c>
      <x:c r="D180" s="16" t="str">
        <x:v>Электроизоляционные материалы</x:v>
      </x:c>
      <x:c r="E180" s="16" t="str">
        <x:v>КГ</x:v>
      </x:c>
      <x:c r="F180" s="21" t="n">
        <x:v>672</x:v>
      </x:c>
      <x:c r="G180" s="17" t="n">
        <x:v>160.1494</x:v>
      </x:c>
      <x:c r="H180" s="17" t="n">
        <x:f>G180*F180</x:f>
        <x:v>107620.39680000002</x:v>
      </x:c>
      <x:c r="I180" s="22" t="str">
        <x:f>HYPERLINK("https://etp-aktiv.ru/catalog/materialy/ehlektroizolyacionnye-materialy/2000177505-U312/","Открыть позицию")</x:f>
        <x:v>Открыть позицию</x:v>
      </x:c>
    </x:row>
    <x:row r="181" ht="28" customHeight="1">
      <x:c r="A181" s="16" t="str">
        <x:v>Кемеровская ТЭЦ</x:v>
      </x:c>
      <x:c r="B181" s="16" t="str">
        <x:v>2000046876-U312</x:v>
      </x:c>
      <x:c r="C181" s="16" t="str">
        <x:v>ЭЛЕКТРОКАРТОН ЭВ 0,3ММ</x:v>
      </x:c>
      <x:c r="D181" s="16" t="str">
        <x:v>Электроизоляционные материалы</x:v>
      </x:c>
      <x:c r="E181" s="16" t="str">
        <x:v>КГ</x:v>
      </x:c>
      <x:c r="F181" s="29" t="n">
        <x:v>2.7</x:v>
      </x:c>
      <x:c r="G181" s="17" t="n">
        <x:v>190.0028</x:v>
      </x:c>
      <x:c r="H181" s="17" t="n">
        <x:f>G181*F181</x:f>
        <x:v>513.00756</x:v>
      </x:c>
      <x:c r="I181" s="22" t="str">
        <x:f>HYPERLINK("https://etp-aktiv.ru/catalog/materialy/ehlektroizolyacionnye-materialy/2000046876-U312/","Открыть позицию")</x:f>
        <x:v>Открыть позицию</x:v>
      </x:c>
    </x:row>
    <x:row r="182" ht="28" customHeight="1">
      <x:c r="A182" s="16" t="str">
        <x:v>Кемеровская ТЭЦ</x:v>
      </x:c>
      <x:c r="B182" s="16" t="str">
        <x:v>2000046878-U312</x:v>
      </x:c>
      <x:c r="C182" s="16" t="str">
        <x:v>ЭЛЕКТРОКАРТОН ЭВ 0,5ММ</x:v>
      </x:c>
      <x:c r="D182" s="16" t="str">
        <x:v>Электроизоляционные материалы</x:v>
      </x:c>
      <x:c r="E182" s="16" t="str">
        <x:v>КГ</x:v>
      </x:c>
      <x:c r="F182" s="29" t="n">
        <x:v>22.58</x:v>
      </x:c>
      <x:c r="G182" s="17" t="n">
        <x:v>95.5016</x:v>
      </x:c>
      <x:c r="H182" s="17" t="n">
        <x:f>G182*F182</x:f>
        <x:v>2156.4261279999996</x:v>
      </x:c>
      <x:c r="I182" s="22" t="str">
        <x:f>HYPERLINK("https://etp-aktiv.ru/catalog/materialy/ehlektroizolyacionnye-materialy/2000046878-U312/","Открыть позицию")</x:f>
        <x:v>Открыть позицию</x:v>
      </x:c>
    </x:row>
    <x:row r="183" ht="28" customHeight="1">
      <x:c r="A183" s="16" t="str">
        <x:v>Кемеровская ТЭЦ</x:v>
      </x:c>
      <x:c r="B183" s="16" t="str">
        <x:v>2000162946-U312</x:v>
      </x:c>
      <x:c r="C183" s="16" t="str">
        <x:v>ЭЛЕКТРОКАРТОН ЭВ 1ММ</x:v>
      </x:c>
      <x:c r="D183" s="16" t="str">
        <x:v>Электроизоляционные материалы</x:v>
      </x:c>
      <x:c r="E183" s="16" t="str">
        <x:v>КГ</x:v>
      </x:c>
      <x:c r="F183" s="29" t="n">
        <x:v>2.2</x:v>
      </x:c>
      <x:c r="G183" s="17" t="n">
        <x:v>74.2614</x:v>
      </x:c>
      <x:c r="H183" s="17" t="n">
        <x:f>G183*F183</x:f>
        <x:v>163.37508</x:v>
      </x:c>
      <x:c r="I183" s="22" t="str">
        <x:f>HYPERLINK("https://etp-aktiv.ru/catalog/materialy/ehlektroizolyacionnye-materialy/2000162946-U312/","Открыть позицию")</x:f>
        <x:v>Открыть позицию</x:v>
      </x:c>
    </x:row>
    <x:row r="184" ht="28" customHeight="1">
      <x:c r="A184" s="16" t="str">
        <x:v>Кемеровская теплосетевая компания</x:v>
      </x:c>
      <x:c r="B184" s="16" t="str">
        <x:v>2000694598-U121</x:v>
      </x:c>
      <x:c r="C184" s="16" t="str">
        <x:v>DIN-РЕЙКА 300ММ SQ0804-0006</x:v>
      </x:c>
      <x:c r="D184" s="16" t="str">
        <x:v>Низковольтная аппаратура и запасные части</x:v>
      </x:c>
      <x:c r="E184" s="16" t="str">
        <x:v>ШТ</x:v>
      </x:c>
      <x:c r="F184" s="21" t="n">
        <x:v>18</x:v>
      </x:c>
      <x:c r="G184" s="17" t="n">
        <x:v>29.072599999999998</x:v>
      </x:c>
      <x:c r="H184" s="17" t="n">
        <x:f>G184*F184</x:f>
        <x:v>523.3068</x:v>
      </x:c>
      <x:c r="I184" s="22" t="str">
        <x:f>HYPERLINK("https://etp-aktiv.ru/catalog/materialy/nizkovoltnaya-apparatura-i-zapasnye-chasti/2000694598-U121/","Открыть позицию")</x:f>
        <x:v>Открыть позицию</x:v>
      </x:c>
    </x:row>
    <x:row r="185" ht="28" customHeight="1">
      <x:c r="A185" s="16" t="str">
        <x:v>Кемеровская теплосетевая компания</x:v>
      </x:c>
      <x:c r="B185" s="16" t="str">
        <x:v>2000303425-U121</x:v>
      </x:c>
      <x:c r="C185" s="16" t="str">
        <x:v>АВТОМАТ А-3726ФУЗ 250А</x:v>
      </x:c>
      <x:c r="D185" s="16" t="str">
        <x:v>Низковольтная аппаратура и запасные части</x:v>
      </x:c>
      <x:c r="E185" s="16" t="str">
        <x:v>ШТ</x:v>
      </x:c>
      <x:c r="F185" s="21" t="n">
        <x:v>1</x:v>
      </x:c>
      <x:c r="G185" s="17" t="n">
        <x:v>10500.0032</x:v>
      </x:c>
      <x:c r="H185" s="17" t="n">
        <x:f>G185*F185</x:f>
        <x:v>10500.0032</x:v>
      </x:c>
      <x:c r="I185" s="22" t="str">
        <x:f>HYPERLINK("https://etp-aktiv.ru/catalog/materialy/nizkovoltnaya-apparatura-i-zapasnye-chasti/2000303425-U121/","Открыть позицию")</x:f>
        <x:v>Открыть позицию</x:v>
      </x:c>
    </x:row>
    <x:row r="186" ht="28" customHeight="1">
      <x:c r="A186" s="16" t="str">
        <x:v>Кемеровская теплосетевая компания</x:v>
      </x:c>
      <x:c r="B186" s="16" t="str">
        <x:v>2000911568-U121</x:v>
      </x:c>
      <x:c r="C186" s="16" t="str">
        <x:v>АВТОМАТ А3114 100A 3P</x:v>
      </x:c>
      <x:c r="D186" s="16" t="str">
        <x:v>Низковольтная аппаратура и запасные части</x:v>
      </x:c>
      <x:c r="E186" s="16" t="str">
        <x:v>ШТ</x:v>
      </x:c>
      <x:c r="F186" s="21" t="n">
        <x:v>1</x:v>
      </x:c>
      <x:c r="G186" s="17" t="n">
        <x:v>9212.9032</x:v>
      </x:c>
      <x:c r="H186" s="17" t="n">
        <x:f>G186*F186</x:f>
        <x:v>9212.9032</x:v>
      </x:c>
      <x:c r="I186" s="22" t="str">
        <x:f>HYPERLINK("https://etp-aktiv.ru/catalog/materialy/nizkovoltnaya-apparatura-i-zapasnye-chasti/2000911568-U121/","Открыть позицию")</x:f>
        <x:v>Открыть позицию</x:v>
      </x:c>
    </x:row>
    <x:row r="187" ht="28" customHeight="1">
      <x:c r="A187" s="16" t="str">
        <x:v>Кемеровская теплосетевая компания</x:v>
      </x:c>
      <x:c r="B187" s="16" t="str">
        <x:v>2000018973-U121</x:v>
      </x:c>
      <x:c r="C187" s="16" t="str">
        <x:v>АВТОМАТ АЕ-2056 50А</x:v>
      </x:c>
      <x:c r="D187" s="16" t="str">
        <x:v>Низковольтная аппаратура и запасные части</x:v>
      </x:c>
      <x:c r="E187" s="16" t="str">
        <x:v>ШТ</x:v>
      </x:c>
      <x:c r="F187" s="21" t="n">
        <x:v>2</x:v>
      </x:c>
      <x:c r="G187" s="17" t="n">
        <x:v>1308.45</x:v>
      </x:c>
      <x:c r="H187" s="17" t="n">
        <x:f>G187*F187</x:f>
        <x:v>2616.9</x:v>
      </x:c>
      <x:c r="I187" s="22" t="str">
        <x:f>HYPERLINK("https://etp-aktiv.ru/catalog/materialy/nizkovoltnaya-apparatura-i-zapasnye-chasti/2000018973-U121/","Открыть позицию")</x:f>
        <x:v>Открыть позицию</x:v>
      </x:c>
    </x:row>
    <x:row r="188" ht="28" customHeight="1">
      <x:c r="A188" s="16" t="str">
        <x:v>Кемеровская теплосетевая компания</x:v>
      </x:c>
      <x:c r="B188" s="16" t="str">
        <x:v>2000535347-U121</x:v>
      </x:c>
      <x:c r="C188" s="16" t="str">
        <x:v>АВТОМАТ АП50Б3МТ-16А-10IН-400АС2ПУ3</x:v>
      </x:c>
      <x:c r="D188" s="16" t="str">
        <x:v>Низковольтная аппаратура и запасные части</x:v>
      </x:c>
      <x:c r="E188" s="16" t="str">
        <x:v>ШТ</x:v>
      </x:c>
      <x:c r="F188" s="21" t="n">
        <x:v>2</x:v>
      </x:c>
      <x:c r="G188" s="17" t="n">
        <x:v>1991.04</x:v>
      </x:c>
      <x:c r="H188" s="17" t="n">
        <x:f>G188*F188</x:f>
        <x:v>3982.08</x:v>
      </x:c>
      <x:c r="I188" s="22" t="str">
        <x:f>HYPERLINK("https://etp-aktiv.ru/catalog/materialy/nizkovoltnaya-apparatura-i-zapasnye-chasti/2000535347-U121/","Открыть позицию")</x:f>
        <x:v>Открыть позицию</x:v>
      </x:c>
    </x:row>
    <x:row r="189" ht="28" customHeight="1">
      <x:c r="A189" s="16" t="str">
        <x:v>Кемеровская теплосетевая компания</x:v>
      </x:c>
      <x:c r="B189" s="16" t="str">
        <x:v>2000137972-U121</x:v>
      </x:c>
      <x:c r="C189" s="16" t="str">
        <x:v>АВТОМАТ ВА 47-29 10А 3P C</x:v>
      </x:c>
      <x:c r="D189" s="16" t="str">
        <x:v>Низковольтная аппаратура и запасные части</x:v>
      </x:c>
      <x:c r="E189" s="16" t="str">
        <x:v>ШТ</x:v>
      </x:c>
      <x:c r="F189" s="21" t="n">
        <x:v>8</x:v>
      </x:c>
      <x:c r="G189" s="17" t="n">
        <x:v>218.685</x:v>
      </x:c>
      <x:c r="H189" s="17" t="n">
        <x:f>G189*F189</x:f>
        <x:v>1749.48</x:v>
      </x:c>
      <x:c r="I189" s="22" t="str">
        <x:f>HYPERLINK("https://etp-aktiv.ru/catalog/materialy/nizkovoltnaya-apparatura-i-zapasnye-chasti/2000137972-U121/","Открыть позицию")</x:f>
        <x:v>Открыть позицию</x:v>
      </x:c>
    </x:row>
    <x:row r="190" ht="28" customHeight="1">
      <x:c r="A190" s="16" t="str">
        <x:v>Кемеровская теплосетевая компания</x:v>
      </x:c>
      <x:c r="B190" s="16" t="str">
        <x:v>2000138072-U121</x:v>
      </x:c>
      <x:c r="C190" s="16" t="str">
        <x:v>АВТОМАТ ВА 47-29 25А 1P B</x:v>
      </x:c>
      <x:c r="D190" s="16" t="str">
        <x:v>Низковольтная аппаратура и запасные части</x:v>
      </x:c>
      <x:c r="E190" s="16" t="str">
        <x:v>ШТ</x:v>
      </x:c>
      <x:c r="F190" s="21" t="n">
        <x:v>1</x:v>
      </x:c>
      <x:c r="G190" s="17" t="n">
        <x:v>71.73599999999999</x:v>
      </x:c>
      <x:c r="H190" s="17" t="n">
        <x:f>G190*F190</x:f>
        <x:v>71.73599999999999</x:v>
      </x:c>
      <x:c r="I190" s="22" t="str">
        <x:f>HYPERLINK("https://etp-aktiv.ru/catalog/materialy/nizkovoltnaya-apparatura-i-zapasnye-chasti/2000138072-U121/","Открыть позицию")</x:f>
        <x:v>Открыть позицию</x:v>
      </x:c>
    </x:row>
    <x:row r="191" ht="28" customHeight="1">
      <x:c r="A191" s="16" t="str">
        <x:v>Кемеровская теплосетевая компания</x:v>
      </x:c>
      <x:c r="B191" s="16" t="str">
        <x:v>2000901230-U121</x:v>
      </x:c>
      <x:c r="C191" s="16" t="str">
        <x:v>АВТОМАТ ВА 47-29 MVA20-1-025-C 25А 1P С</x:v>
      </x:c>
      <x:c r="D191" s="16" t="str">
        <x:v>Низковольтная аппаратура и запасные части</x:v>
      </x:c>
      <x:c r="E191" s="16" t="str">
        <x:v>ШТ</x:v>
      </x:c>
      <x:c r="F191" s="21" t="n">
        <x:v>1</x:v>
      </x:c>
      <x:c r="G191" s="17" t="n">
        <x:v>64.05</x:v>
      </x:c>
      <x:c r="H191" s="17" t="n">
        <x:f>G191*F191</x:f>
        <x:v>64.05</x:v>
      </x:c>
      <x:c r="I191" s="22" t="str">
        <x:f>HYPERLINK("https://etp-aktiv.ru/catalog/materialy/nizkovoltnaya-apparatura-i-zapasnye-chasti/2000901230-U121/","Открыть позицию")</x:f>
        <x:v>Открыть позицию</x:v>
      </x:c>
    </x:row>
    <x:row r="192" ht="28" customHeight="1">
      <x:c r="A192" s="16" t="str">
        <x:v>Кемеровская теплосетевая компания</x:v>
      </x:c>
      <x:c r="B192" s="16" t="str">
        <x:v>2000140703-U121</x:v>
      </x:c>
      <x:c r="C192" s="16" t="str">
        <x:v>БИРКА МАРКИРОВОЧНАЯ У135</x:v>
      </x:c>
      <x:c r="D192" s="16" t="str">
        <x:v>Прочие электротехнические материалы</x:v>
      </x:c>
      <x:c r="E192" s="16" t="str">
        <x:v>ШТ</x:v>
      </x:c>
      <x:c r="F192" s="21" t="n">
        <x:v>500</x:v>
      </x:c>
      <x:c r="G192" s="17" t="n">
        <x:v>1.3785999999999998</x:v>
      </x:c>
      <x:c r="H192" s="17" t="n">
        <x:f>G192*F192</x:f>
        <x:v>689.3</x:v>
      </x:c>
      <x:c r="I192" s="22" t="str">
        <x:f>HYPERLINK("https://etp-aktiv.ru/catalog/materialy/ehlektrotekhnicheskie-materialy/2000140703-U121/","Открыть позицию")</x:f>
        <x:v>Открыть позицию</x:v>
      </x:c>
    </x:row>
    <x:row r="193" ht="28" customHeight="1">
      <x:c r="A193" s="16" t="str">
        <x:v>Кемеровская теплосетевая компания</x:v>
      </x:c>
      <x:c r="B193" s="16" t="str">
        <x:v>2000540874-U121</x:v>
      </x:c>
      <x:c r="C193" s="16" t="str">
        <x:v>БОБЫШКА БП М20*1,5 70ММ СТ20</x:v>
      </x:c>
      <x:c r="D193" s="16" t="str">
        <x:v>Запасные части и принадлежности для приборов КИПиА</x:v>
      </x:c>
      <x:c r="E193" s="16" t="str">
        <x:v>ШТ</x:v>
      </x:c>
      <x:c r="F193" s="21" t="n">
        <x:v>1</x:v>
      </x:c>
      <x:c r="G193" s="17" t="n">
        <x:v>896.6999999999999</x:v>
      </x:c>
      <x:c r="H193" s="17" t="n">
        <x:f>G193*F193</x:f>
        <x:v>896.6999999999999</x:v>
      </x:c>
      <x:c r="I193" s="22" t="str">
        <x:f>HYPERLINK("https://etp-aktiv.ru/catalog/materialy/zapasnye-chasti-i-prinadlezhnosti-dlya-priborov-kipia/2000540874-U121/","Открыть позицию")</x:f>
        <x:v>Открыть позицию</x:v>
      </x:c>
    </x:row>
    <x:row r="194" ht="28" customHeight="1">
      <x:c r="A194" s="16" t="str">
        <x:v>Кемеровская теплосетевая компания</x:v>
      </x:c>
      <x:c r="B194" s="16" t="str">
        <x:v>2000794359-U121</x:v>
      </x:c>
      <x:c r="C194" s="16" t="str">
        <x:v>БОБЫШКА КОСАЯ Д/ТЕРМОДАТ КТПТР TR-0032</x:v>
      </x:c>
      <x:c r="D194" s="16" t="str">
        <x:v>Запасные части и принадлежности для приборов КИПиА</x:v>
      </x:c>
      <x:c r="E194" s="16" t="str">
        <x:v>ШТ</x:v>
      </x:c>
      <x:c r="F194" s="21" t="n">
        <x:v>1</x:v>
      </x:c>
      <x:c r="G194" s="17" t="n">
        <x:v>126.9532</x:v>
      </x:c>
      <x:c r="H194" s="17" t="n">
        <x:f>G194*F194</x:f>
        <x:v>126.9532</x:v>
      </x:c>
      <x:c r="I194" s="22" t="str">
        <x:f>HYPERLINK("https://etp-aktiv.ru/catalog/materialy/zapasnye-chasti-i-prinadlezhnosti-dlya-priborov-kipia/2000794359-U121/","Открыть позицию")</x:f>
        <x:v>Открыть позицию</x:v>
      </x:c>
    </x:row>
    <x:row r="195" ht="28" customHeight="1">
      <x:c r="A195" s="16" t="str">
        <x:v>Кемеровская теплосетевая компания</x:v>
      </x:c>
      <x:c r="B195" s="16" t="str">
        <x:v>2000022323-U121</x:v>
      </x:c>
      <x:c r="C195" s="16" t="str">
        <x:v>ВЫКЛЮЧАТЕЛЬ ВПК-2110 220В</x:v>
      </x:c>
      <x:c r="D195" s="16" t="str">
        <x:v>Низковольтная аппаратура и запасные части</x:v>
      </x:c>
      <x:c r="E195" s="16" t="str">
        <x:v>ШТ</x:v>
      </x:c>
      <x:c r="F195" s="21" t="n">
        <x:v>1</x:v>
      </x:c>
      <x:c r="G195" s="17" t="n">
        <x:v>771.65</x:v>
      </x:c>
      <x:c r="H195" s="17" t="n">
        <x:f>G195*F195</x:f>
        <x:v>771.65</x:v>
      </x:c>
      <x:c r="I195" s="22" t="str">
        <x:f>HYPERLINK("https://etp-aktiv.ru/catalog/materialy/nizkovoltnaya-apparatura-i-zapasnye-chasti/2000022323-U121/","Открыть позицию")</x:f>
        <x:v>Открыть позицию</x:v>
      </x:c>
    </x:row>
    <x:row r="196" ht="28" customHeight="1">
      <x:c r="A196" s="16" t="str">
        <x:v>Кемеровская теплосетевая компания</x:v>
      </x:c>
      <x:c r="B196" s="16" t="str">
        <x:v>2000540960-U121</x:v>
      </x:c>
      <x:c r="C196" s="16" t="str">
        <x:v>ГИЛЬЗА ЗАЩИТНАЯ ГЗ-015-10-400-Н</x:v>
      </x:c>
      <x:c r="D196" s="16" t="str">
        <x:v>Запасные части и принадлежности для приборов КИПиА</x:v>
      </x:c>
      <x:c r="E196" s="16" t="str">
        <x:v>ШТ</x:v>
      </x:c>
      <x:c r="F196" s="21" t="n">
        <x:v>1</x:v>
      </x:c>
      <x:c r="G196" s="17" t="n">
        <x:v>1450.0066</x:v>
      </x:c>
      <x:c r="H196" s="17" t="n">
        <x:f>G196*F196</x:f>
        <x:v>1450.0066</x:v>
      </x:c>
      <x:c r="I196" s="22" t="str">
        <x:f>HYPERLINK("https://etp-aktiv.ru/catalog/materialy/zapasnye-chasti-i-prinadlezhnosti-dlya-priborov-kipia/2000540960-U121/","Открыть позицию")</x:f>
        <x:v>Открыть позицию</x:v>
      </x:c>
    </x:row>
    <x:row r="197" ht="28" customHeight="1">
      <x:c r="A197" s="16" t="str">
        <x:v>Кемеровская теплосетевая компания</x:v>
      </x:c>
      <x:c r="B197" s="16" t="str">
        <x:v>2001001555-U121</x:v>
      </x:c>
      <x:c r="C197" s="16" t="str">
        <x:v>КМП МОНТАЖНЫЙ Д/ПАНЕЛИ MCI-KP 2М</x:v>
      </x:c>
      <x:c r="D197" s="16" t="str">
        <x:v>Прочие электротехнические материалы</x:v>
      </x:c>
      <x:c r="E197" s="16" t="str">
        <x:v>ШТ</x:v>
      </x:c>
      <x:c r="F197" s="21" t="n">
        <x:v>1</x:v>
      </x:c>
      <x:c r="G197" s="17" t="n">
        <x:v>3156.75</x:v>
      </x:c>
      <x:c r="H197" s="17" t="n">
        <x:f>G197*F197</x:f>
        <x:v>3156.75</x:v>
      </x:c>
      <x:c r="I197" s="22" t="str">
        <x:f>HYPERLINK("https://etp-aktiv.ru/catalog/materialy/ehlektrotekhnicheskie-materialy/2001001555-U121/","Открыть позицию")</x:f>
        <x:v>Открыть позицию</x:v>
      </x:c>
    </x:row>
    <x:row r="198" ht="28" customHeight="1">
      <x:c r="A198" s="16" t="str">
        <x:v>Кемеровская теплосетевая компания</x:v>
      </x:c>
      <x:c r="B198" s="16" t="str">
        <x:v>2001002632-U121</x:v>
      </x:c>
      <x:c r="C198" s="16" t="str">
        <x:v>КМП МОНТАЖНЫЙ КМ1/2 35442</x:v>
      </x:c>
      <x:c r="D198" s="16" t="str">
        <x:v>Запасные части и принадлежности для приборов КИПиА</x:v>
      </x:c>
      <x:c r="E198" s="16" t="str">
        <x:v>ШТ</x:v>
      </x:c>
      <x:c r="F198" s="21" t="n">
        <x:v>2</x:v>
      </x:c>
      <x:c r="G198" s="17" t="n">
        <x:v>228.75</x:v>
      </x:c>
      <x:c r="H198" s="17" t="n">
        <x:f>G198*F198</x:f>
        <x:v>457.5</x:v>
      </x:c>
      <x:c r="I198" s="22" t="str">
        <x:f>HYPERLINK("https://etp-aktiv.ru/catalog/materialy/zapasnye-chasti-i-prinadlezhnosti-dlya-priborov-kipia/2001002632-U121/","Открыть позицию")</x:f>
        <x:v>Открыть позицию</x:v>
      </x:c>
    </x:row>
    <x:row r="199" ht="28" customHeight="1">
      <x:c r="A199" s="16" t="str">
        <x:v>Кемеровская теплосетевая компания</x:v>
      </x:c>
      <x:c r="B199" s="16" t="str">
        <x:v>2000316039-U121</x:v>
      </x:c>
      <x:c r="C199" s="16" t="str">
        <x:v>КОНТАКТОР КМИ-22510 25А 230В/АС-3 1НО IE</x:v>
      </x:c>
      <x:c r="D199" s="16" t="str">
        <x:v>Низковольтная аппаратура и запасные части</x:v>
      </x:c>
      <x:c r="E199" s="16" t="str">
        <x:v>ШТ</x:v>
      </x:c>
      <x:c r="F199" s="21" t="n">
        <x:v>2</x:v>
      </x:c>
      <x:c r="G199" s="17" t="n">
        <x:v>631.35</x:v>
      </x:c>
      <x:c r="H199" s="17" t="n">
        <x:f>G199*F199</x:f>
        <x:v>1262.7</x:v>
      </x:c>
      <x:c r="I199" s="22" t="str">
        <x:f>HYPERLINK("https://etp-aktiv.ru/catalog/materialy/nizkovoltnaya-apparatura-i-zapasnye-chasti/2000316039-U121/","Открыть позицию")</x:f>
        <x:v>Открыть позицию</x:v>
      </x:c>
    </x:row>
    <x:row r="200" ht="28" customHeight="1">
      <x:c r="A200" s="16" t="str">
        <x:v>Кемеровская теплосетевая компания</x:v>
      </x:c>
      <x:c r="B200" s="16" t="str">
        <x:v>2000917416-U121</x:v>
      </x:c>
      <x:c r="C200" s="16" t="str">
        <x:v>КОРОБКА UKT10-068-040-000-A-N-UO IP20</x:v>
      </x:c>
      <x:c r="D200" s="16" t="str">
        <x:v>Осветительная продукция и изделия электроустановочные</x:v>
      </x:c>
      <x:c r="E200" s="16" t="str">
        <x:v>ШТ</x:v>
      </x:c>
      <x:c r="F200" s="21" t="n">
        <x:v>18</x:v>
      </x:c>
      <x:c r="G200" s="17" t="n">
        <x:v>7.8934</x:v>
      </x:c>
      <x:c r="H200" s="17" t="n">
        <x:f>G200*F200</x:f>
        <x:v>142.0812</x:v>
      </x:c>
      <x:c r="I200" s="22" t="str">
        <x:f>HYPERLINK("https://etp-aktiv.ru/catalog/materialy/ehlektrotekhnicheskie-materialy/2000917416-U121/","Открыть позицию")</x:f>
        <x:v>Открыть позицию</x:v>
      </x:c>
    </x:row>
    <x:row r="201" ht="28" customHeight="1">
      <x:c r="A201" s="16" t="str">
        <x:v>Кемеровская теплосетевая компания</x:v>
      </x:c>
      <x:c r="B201" s="16" t="str">
        <x:v>2000246831-U121</x:v>
      </x:c>
      <x:c r="C201" s="16" t="str">
        <x:v>КОРОБКА УСТАНОВОЧНАЯ МК26 D64ММ H40ММ</x:v>
      </x:c>
      <x:c r="D201" s="16" t="str">
        <x:v>Осветительная продукция и изделия электроустановочные</x:v>
      </x:c>
      <x:c r="E201" s="16" t="str">
        <x:v>ШТ</x:v>
      </x:c>
      <x:c r="F201" s="21" t="n">
        <x:v>2</x:v>
      </x:c>
      <x:c r="G201" s="17" t="n">
        <x:v>10.9556</x:v>
      </x:c>
      <x:c r="H201" s="17" t="n">
        <x:f>G201*F201</x:f>
        <x:v>21.9112</x:v>
      </x:c>
      <x:c r="I201" s="22" t="str">
        <x:f>HYPERLINK("https://etp-aktiv.ru/catalog/materialy/ehlektrotekhnicheskie-materialy/2000246831-U121/","Открыть позицию")</x:f>
        <x:v>Открыть позицию</x:v>
      </x:c>
    </x:row>
    <x:row r="202" ht="28" customHeight="1">
      <x:c r="A202" s="16" t="str">
        <x:v>Кемеровская теплосетевая компания</x:v>
      </x:c>
      <x:c r="B202" s="16" t="str">
        <x:v>2000986415-U121</x:v>
      </x:c>
      <x:c r="C202" s="16" t="str">
        <x:v>КОРПУС ЩМП-2.3.1-0 У2 IP54 YKM40-231-54</x:v>
      </x:c>
      <x:c r="D202" s="16" t="str">
        <x:v>Низковольтная аппаратура и запасные части</x:v>
      </x:c>
      <x:c r="E202" s="16" t="str">
        <x:v>ШТ</x:v>
      </x:c>
      <x:c r="F202" s="21" t="n">
        <x:v>1</x:v>
      </x:c>
      <x:c r="G202" s="17" t="n">
        <x:v>1281</x:v>
      </x:c>
      <x:c r="H202" s="17" t="n">
        <x:f>G202*F202</x:f>
        <x:v>1281</x:v>
      </x:c>
      <x:c r="I202" s="22" t="str">
        <x:f>HYPERLINK("https://etp-aktiv.ru/catalog/materialy/nizkovoltnaya-apparatura-i-zapasnye-chasti/2000986415-U121/","Открыть позицию")</x:f>
        <x:v>Открыть позицию</x:v>
      </x:c>
    </x:row>
    <x:row r="203" ht="28" customHeight="1">
      <x:c r="A203" s="16" t="str">
        <x:v>Кемеровская теплосетевая компания</x:v>
      </x:c>
      <x:c r="B203" s="16" t="str">
        <x:v>2000447656-U121</x:v>
      </x:c>
      <x:c r="C203" s="16" t="str">
        <x:v>КРОНШТЕЙН Д/СВЕТИЛЬНИКА РКУ/ЖКУ/ДКУ</x:v>
      </x:c>
      <x:c r="D203" s="16" t="str">
        <x:v>Осветительная продукция и изделия электроустановочные</x:v>
      </x:c>
      <x:c r="E203" s="16" t="str">
        <x:v>ШТ</x:v>
      </x:c>
      <x:c r="F203" s="21" t="n">
        <x:v>74</x:v>
      </x:c>
      <x:c r="G203" s="17" t="n">
        <x:v>286.5292</x:v>
      </x:c>
      <x:c r="H203" s="17" t="n">
        <x:f>G203*F203</x:f>
        <x:v>21203.1608</x:v>
      </x:c>
      <x:c r="I203" s="22" t="str">
        <x:f>HYPERLINK("https://etp-aktiv.ru/catalog/materialy/ehlektrotekhnicheskie-materialy/2000447656-U121/","Открыть позицию")</x:f>
        <x:v>Открыть позицию</x:v>
      </x:c>
    </x:row>
    <x:row r="204" ht="28" customHeight="1">
      <x:c r="A204" s="16" t="str">
        <x:v>Кемеровская теплосетевая компания</x:v>
      </x:c>
      <x:c r="B204" s="16" t="str">
        <x:v>2000717566-U121</x:v>
      </x:c>
      <x:c r="C204" s="16" t="str">
        <x:v>ЛАМПА ECO A60 LLE-A60-20-230-40-E27</x:v>
      </x:c>
      <x:c r="D204" s="16" t="str">
        <x:v>Осветительная продукция и изделия электроустановочные</x:v>
      </x:c>
      <x:c r="E204" s="16" t="str">
        <x:v>ШТ</x:v>
      </x:c>
      <x:c r="F204" s="21" t="n">
        <x:v>300</x:v>
      </x:c>
      <x:c r="G204" s="17" t="n">
        <x:v>66.49</x:v>
      </x:c>
      <x:c r="H204" s="17" t="n">
        <x:f>G204*F204</x:f>
        <x:v>19947</x:v>
      </x:c>
      <x:c r="I204" s="22" t="str">
        <x:f>HYPERLINK("https://etp-aktiv.ru/catalog/materialy/ehlektrotekhnicheskie-materialy/2000717566-U121/","Открыть позицию")</x:f>
        <x:v>Открыть позицию</x:v>
      </x:c>
    </x:row>
    <x:row r="205" ht="28" customHeight="1">
      <x:c r="A205" s="16" t="str">
        <x:v>Кемеровская теплосетевая компания</x:v>
      </x:c>
      <x:c r="B205" s="16" t="str">
        <x:v>2000718317-U121</x:v>
      </x:c>
      <x:c r="C205" s="16" t="str">
        <x:v>ЛАМПА XF-E27-A60-P-8W-4000K-12V</x:v>
      </x:c>
      <x:c r="D205" s="16" t="str">
        <x:v>Осветительная продукция и изделия электроустановочные</x:v>
      </x:c>
      <x:c r="E205" s="16" t="str">
        <x:v>ШТ</x:v>
      </x:c>
      <x:c r="F205" s="21" t="n">
        <x:v>20</x:v>
      </x:c>
      <x:c r="G205" s="17" t="n">
        <x:v>126.9166</x:v>
      </x:c>
      <x:c r="H205" s="17" t="n">
        <x:f>G205*F205</x:f>
        <x:v>2538.332</x:v>
      </x:c>
      <x:c r="I205" s="22" t="str">
        <x:f>HYPERLINK("https://etp-aktiv.ru/catalog/materialy/ehlektrotekhnicheskie-materialy/2000718317-U121/","Открыть позицию")</x:f>
        <x:v>Открыть позицию</x:v>
      </x:c>
    </x:row>
    <x:row r="206" ht="28" customHeight="1">
      <x:c r="A206" s="16" t="str">
        <x:v>Кемеровская теплосетевая компания</x:v>
      </x:c>
      <x:c r="B206" s="16" t="str">
        <x:v>2000545095-U121</x:v>
      </x:c>
      <x:c r="C206" s="16" t="str">
        <x:v>ЛАМПА ДНАТ 1000ВТ E40</x:v>
      </x:c>
      <x:c r="D206" s="16" t="str">
        <x:v>Осветительная продукция и изделия электроустановочные</x:v>
      </x:c>
      <x:c r="E206" s="16" t="str">
        <x:v>ШТ</x:v>
      </x:c>
      <x:c r="F206" s="21" t="n">
        <x:v>2</x:v>
      </x:c>
      <x:c r="G206" s="17" t="n">
        <x:v>2350.0006</x:v>
      </x:c>
      <x:c r="H206" s="17" t="n">
        <x:f>G206*F206</x:f>
        <x:v>4700.0012</x:v>
      </x:c>
      <x:c r="I206" s="22" t="str">
        <x:f>HYPERLINK("https://etp-aktiv.ru/catalog/materialy/ehlektrotekhnicheskie-materialy/2000545095-U121/","Открыть позицию")</x:f>
        <x:v>Открыть позицию</x:v>
      </x:c>
    </x:row>
    <x:row r="207" ht="28" customHeight="1">
      <x:c r="A207" s="16" t="str">
        <x:v>Кемеровская теплосетевая компания</x:v>
      </x:c>
      <x:c r="B207" s="16" t="str">
        <x:v>2000545200-U121</x:v>
      </x:c>
      <x:c r="C207" s="16" t="str">
        <x:v>ЛАМПА ЛБ-18 FL18W/635 18ВТ G13 БЕЛЫЙ</x:v>
      </x:c>
      <x:c r="D207" s="16" t="str">
        <x:v>Осветительная продукция и изделия электроустановочные</x:v>
      </x:c>
      <x:c r="E207" s="16" t="str">
        <x:v>ШТ</x:v>
      </x:c>
      <x:c r="F207" s="21" t="n">
        <x:v>98</x:v>
      </x:c>
      <x:c r="G207" s="17" t="n">
        <x:v>55.009800000000006</x:v>
      </x:c>
      <x:c r="H207" s="17" t="n">
        <x:f>G207*F207</x:f>
        <x:v>5390.960400000001</x:v>
      </x:c>
      <x:c r="I207" s="22" t="str">
        <x:f>HYPERLINK("https://etp-aktiv.ru/catalog/materialy/ehlektrotekhnicheskie-materialy/2000545200-U121/","Открыть позицию")</x:f>
        <x:v>Открыть позицию</x:v>
      </x:c>
    </x:row>
    <x:row r="208" ht="28" customHeight="1">
      <x:c r="A208" s="16" t="str">
        <x:v>Кемеровская теплосетевая компания</x:v>
      </x:c>
      <x:c r="B208" s="16" t="str">
        <x:v>2000545220-U121</x:v>
      </x:c>
      <x:c r="C208" s="16" t="str">
        <x:v>ЛАМПА ЛД-36 36ВТ G13</x:v>
      </x:c>
      <x:c r="D208" s="16" t="str">
        <x:v>Осветительная продукция и изделия электроустановочные</x:v>
      </x:c>
      <x:c r="E208" s="16" t="str">
        <x:v>ШТ</x:v>
      </x:c>
      <x:c r="F208" s="21" t="n">
        <x:v>25</x:v>
      </x:c>
      <x:c r="G208" s="17" t="n">
        <x:v>55.009800000000006</x:v>
      </x:c>
      <x:c r="H208" s="17" t="n">
        <x:f>G208*F208</x:f>
        <x:v>1375.2450000000001</x:v>
      </x:c>
      <x:c r="I208" s="22" t="str">
        <x:f>HYPERLINK("https://etp-aktiv.ru/catalog/materialy/ehlektrotekhnicheskie-materialy/2000545220-U121/","Открыть позицию")</x:f>
        <x:v>Открыть позицию</x:v>
      </x:c>
    </x:row>
    <x:row r="209" ht="28" customHeight="1">
      <x:c r="A209" s="16" t="str">
        <x:v>Кемеровская теплосетевая компания</x:v>
      </x:c>
      <x:c r="B209" s="16" t="str">
        <x:v>2000000403-U121</x:v>
      </x:c>
      <x:c r="C209" s="16" t="str">
        <x:v>ЛАМПА МО 36*40 40ВТ Е27</x:v>
      </x:c>
      <x:c r="D209" s="16" t="str">
        <x:v>Осветительная продукция и изделия электроустановочные</x:v>
      </x:c>
      <x:c r="E209" s="16" t="str">
        <x:v>ШТ</x:v>
      </x:c>
      <x:c r="F209" s="21" t="n">
        <x:v>50</x:v>
      </x:c>
      <x:c r="G209" s="17" t="n">
        <x:v>15.555</x:v>
      </x:c>
      <x:c r="H209" s="17" t="n">
        <x:f>G209*F209</x:f>
        <x:v>777.75</x:v>
      </x:c>
      <x:c r="I209" s="22" t="str">
        <x:f>HYPERLINK("https://etp-aktiv.ru/catalog/materialy/ehlektrotekhnicheskie-materialy/2000000403-U121/","Открыть позицию")</x:f>
        <x:v>Открыть позицию</x:v>
      </x:c>
    </x:row>
    <x:row r="210" ht="28" customHeight="1">
      <x:c r="A210" s="16" t="str">
        <x:v>Кемеровская теплосетевая компания</x:v>
      </x:c>
      <x:c r="B210" s="16" t="str">
        <x:v>2000694252-U121</x:v>
      </x:c>
      <x:c r="C210" s="16" t="str">
        <x:v>МАНОВАКУУММЕТР ДА2010СГУ2 -1+0,6КГС/СМ2</x:v>
      </x:c>
      <x:c r="D210" s="16" t="str">
        <x:v>Запасные части и принадлежности для приборов КИПиА</x:v>
      </x:c>
      <x:c r="E210" s="16" t="str">
        <x:v>ШТ</x:v>
      </x:c>
      <x:c r="F210" s="21" t="n">
        <x:v>3</x:v>
      </x:c>
      <x:c r="G210" s="17" t="n">
        <x:v>2552.85</x:v>
      </x:c>
      <x:c r="H210" s="17" t="n">
        <x:f>G210*F210</x:f>
        <x:v>7658.549999999999</x:v>
      </x:c>
      <x:c r="I210" s="22" t="str">
        <x:f>HYPERLINK("https://etp-aktiv.ru/catalog/materialy/zapasnye-chasti-i-prinadlezhnosti-dlya-priborov-kipia/2000694252-U121/","Открыть позицию")</x:f>
        <x:v>Открыть позицию</x:v>
      </x:c>
    </x:row>
    <x:row r="211" ht="28" customHeight="1">
      <x:c r="A211" s="16" t="str">
        <x:v>Кемеровская теплосетевая компания</x:v>
      </x:c>
      <x:c r="B211" s="16" t="str">
        <x:v>2001044761-U121</x:v>
      </x:c>
      <x:c r="C211" s="16" t="str">
        <x:v>МАНОМЕТР МП100М 0-40МПА КЛ1,5 М20*1,5</x:v>
      </x:c>
      <x:c r="D211" s="16" t="str">
        <x:v>Запасные части и принадлежности для приборов КИПиА</x:v>
      </x:c>
      <x:c r="E211" s="16" t="str">
        <x:v>ШТ</x:v>
      </x:c>
      <x:c r="F211" s="21" t="n">
        <x:v>2</x:v>
      </x:c>
      <x:c r="G211" s="17" t="n">
        <x:v>1244.1316</x:v>
      </x:c>
      <x:c r="H211" s="17" t="n">
        <x:f>G211*F211</x:f>
        <x:v>2488.2632</x:v>
      </x:c>
      <x:c r="I211" s="22" t="str">
        <x:f>HYPERLINK("https://etp-aktiv.ru/catalog/materialy/zapasnye-chasti-i-prinadlezhnosti-dlya-priborov-kipia/2001044761-U121/","Открыть позицию")</x:f>
        <x:v>Открыть позицию</x:v>
      </x:c>
    </x:row>
    <x:row r="212" ht="28" customHeight="1">
      <x:c r="A212" s="16" t="str">
        <x:v>Кемеровская теплосетевая компания</x:v>
      </x:c>
      <x:c r="B212" s="16" t="str">
        <x:v>2000262402-U121</x:v>
      </x:c>
      <x:c r="C212" s="16" t="str">
        <x:v>МАНОМЕТР ТМ-210/Р.00 0-0,6МПА М12*1,5</x:v>
      </x:c>
      <x:c r="D212" s="16" t="str">
        <x:v>Запасные части и принадлежности для приборов КИПиА</x:v>
      </x:c>
      <x:c r="E212" s="16" t="str">
        <x:v>ШТ</x:v>
      </x:c>
      <x:c r="F212" s="21" t="n">
        <x:v>10</x:v>
      </x:c>
      <x:c r="G212" s="17" t="n">
        <x:v>227.835</x:v>
      </x:c>
      <x:c r="H212" s="17" t="n">
        <x:f>G212*F212</x:f>
        <x:v>2278.35</x:v>
      </x:c>
      <x:c r="I212" s="22" t="str">
        <x:f>HYPERLINK("https://etp-aktiv.ru/catalog/materialy/zapasnye-chasti-i-prinadlezhnosti-dlya-priborov-kipia/2000262402-U121/","Открыть позицию")</x:f>
        <x:v>Открыть позицию</x:v>
      </x:c>
    </x:row>
    <x:row r="213" ht="28" customHeight="1">
      <x:c r="A213" s="16" t="str">
        <x:v>Кемеровская теплосетевая компания</x:v>
      </x:c>
      <x:c r="B213" s="16" t="str">
        <x:v>2000170955-U121</x:v>
      </x:c>
      <x:c r="C213" s="16" t="str">
        <x:v>МАНОМЕТР ТМ-210/Р.00 0-25МПА М12*1,5/2,5</x:v>
      </x:c>
      <x:c r="D213" s="16" t="str">
        <x:v>Запасные части и принадлежности для приборов КИПиА</x:v>
      </x:c>
      <x:c r="E213" s="16" t="str">
        <x:v>ШТ</x:v>
      </x:c>
      <x:c r="F213" s="21" t="n">
        <x:v>6</x:v>
      </x:c>
      <x:c r="G213" s="17" t="n">
        <x:v>315.675</x:v>
      </x:c>
      <x:c r="H213" s="17" t="n">
        <x:f>G213*F213</x:f>
        <x:v>1894.0500000000002</x:v>
      </x:c>
      <x:c r="I213" s="22" t="str">
        <x:f>HYPERLINK("https://etp-aktiv.ru/catalog/materialy/zapasnye-chasti-i-prinadlezhnosti-dlya-priborov-kipia/2000170955-U121/","Открыть позицию")</x:f>
        <x:v>Открыть позицию</x:v>
      </x:c>
    </x:row>
    <x:row r="214" ht="28" customHeight="1">
      <x:c r="A214" s="16" t="str">
        <x:v>Кемеровская теплосетевая компания</x:v>
      </x:c>
      <x:c r="B214" s="16" t="str">
        <x:v>2000224298-U121</x:v>
      </x:c>
      <x:c r="C214" s="16" t="str">
        <x:v>МАНОМЕТР ТМ210/Р.00 0-250КГС/СМ2 М12*1,5</x:v>
      </x:c>
      <x:c r="D214" s="16" t="str">
        <x:v>Запасные части и принадлежности для приборов КИПиА</x:v>
      </x:c>
      <x:c r="E214" s="16" t="str">
        <x:v>ШТ</x:v>
      </x:c>
      <x:c r="F214" s="21" t="n">
        <x:v>10</x:v>
      </x:c>
      <x:c r="G214" s="17" t="n">
        <x:v>227.835</x:v>
      </x:c>
      <x:c r="H214" s="17" t="n">
        <x:f>G214*F214</x:f>
        <x:v>2278.35</x:v>
      </x:c>
      <x:c r="I214" s="22" t="str">
        <x:f>HYPERLINK("https://etp-aktiv.ru/catalog/materialy/zapasnye-chasti-i-prinadlezhnosti-dlya-priborov-kipia/2000224298-U121/","Открыть позицию")</x:f>
        <x:v>Открыть позицию</x:v>
      </x:c>
    </x:row>
    <x:row r="215" ht="28" customHeight="1">
      <x:c r="A215" s="16" t="str">
        <x:v>Кемеровская теплосетевая компания</x:v>
      </x:c>
      <x:c r="B215" s="16" t="str">
        <x:v>2000541117-U121</x:v>
      </x:c>
      <x:c r="C215" s="16" t="str">
        <x:v>ПЕРЕХОДНИК МАНОМЕТРА М20*1,5 G1/2 ВР/НР</x:v>
      </x:c>
      <x:c r="D215" s="16" t="str">
        <x:v>Запасные части и принадлежности для приборов КИПиА</x:v>
      </x:c>
      <x:c r="E215" s="16" t="str">
        <x:v>ШТ</x:v>
      </x:c>
      <x:c r="F215" s="21" t="n">
        <x:v>7</x:v>
      </x:c>
      <x:c r="G215" s="17" t="n">
        <x:v>280.4902</x:v>
      </x:c>
      <x:c r="H215" s="17" t="n">
        <x:f>G215*F215</x:f>
        <x:v>1963.4314000000002</x:v>
      </x:c>
      <x:c r="I215" s="22" t="str">
        <x:f>HYPERLINK("https://etp-aktiv.ru/catalog/materialy/zapasnye-chasti-i-prinadlezhnosti-dlya-priborov-kipia/2000541117-U121/","Открыть позицию")</x:f>
        <x:v>Открыть позицию</x:v>
      </x:c>
    </x:row>
    <x:row r="216" ht="28" customHeight="1">
      <x:c r="A216" s="16" t="str">
        <x:v>Кемеровская теплосетевая компания</x:v>
      </x:c>
      <x:c r="B216" s="16" t="str">
        <x:v>2000536761-U121</x:v>
      </x:c>
      <x:c r="C216" s="16" t="str">
        <x:v>ПОСТ КНОПОЧНЫЙ ПКЕ 212 1У3</x:v>
      </x:c>
      <x:c r="D216" s="16" t="str">
        <x:v>Низковольтная аппаратура и запасные части</x:v>
      </x:c>
      <x:c r="E216" s="16" t="str">
        <x:v>ШТ</x:v>
      </x:c>
      <x:c r="F216" s="21" t="n">
        <x:v>3</x:v>
      </x:c>
      <x:c r="G216" s="17" t="n">
        <x:v>3111</x:v>
      </x:c>
      <x:c r="H216" s="17" t="n">
        <x:f>G216*F216</x:f>
        <x:v>9333</x:v>
      </x:c>
      <x:c r="I216" s="22" t="str">
        <x:f>HYPERLINK("https://etp-aktiv.ru/catalog/materialy/nizkovoltnaya-apparatura-i-zapasnye-chasti/2000536761-U121/","Открыть позицию")</x:f>
        <x:v>Открыть позицию</x:v>
      </x:c>
    </x:row>
    <x:row r="217" ht="28" customHeight="1">
      <x:c r="A217" s="16" t="str">
        <x:v>Кемеровская теплосетевая компания</x:v>
      </x:c>
      <x:c r="B217" s="16" t="str">
        <x:v>2000694793-U121</x:v>
      </x:c>
      <x:c r="C217" s="16" t="str">
        <x:v>ПРЕДОХРАНИТЕЛЬ ППН-33-X3-0-100А-УХЛ3</x:v>
      </x:c>
      <x:c r="D217" s="16" t="str">
        <x:v>Низковольтная аппаратура и запасные части</x:v>
      </x:c>
      <x:c r="E217" s="16" t="str">
        <x:v>ШТ</x:v>
      </x:c>
      <x:c r="F217" s="21" t="n">
        <x:v>10</x:v>
      </x:c>
      <x:c r="G217" s="17" t="n">
        <x:v>85.827</x:v>
      </x:c>
      <x:c r="H217" s="17" t="n">
        <x:f>G217*F217</x:f>
        <x:v>858.27</x:v>
      </x:c>
      <x:c r="I217" s="22" t="str">
        <x:f>HYPERLINK("https://etp-aktiv.ru/catalog/materialy/nizkovoltnaya-apparatura-i-zapasnye-chasti/2000694793-U121/","Открыть позицию")</x:f>
        <x:v>Открыть позицию</x:v>
      </x:c>
    </x:row>
    <x:row r="218" ht="28" customHeight="1">
      <x:c r="A218" s="16" t="str">
        <x:v>Кемеровская теплосетевая компания</x:v>
      </x:c>
      <x:c r="B218" s="16" t="str">
        <x:v>2000459619-U121</x:v>
      </x:c>
      <x:c r="C218" s="16" t="str">
        <x:v>ПРИВОД Д/РАСПАШНЫХ ВОРОТ TO4016P</x:v>
      </x:c>
      <x:c r="D218" s="16" t="str">
        <x:v>Низковольтная аппаратура и запасные части</x:v>
      </x:c>
      <x:c r="E218" s="16" t="str">
        <x:v>ШТ</x:v>
      </x:c>
      <x:c r="F218" s="21" t="n">
        <x:v>1</x:v>
      </x:c>
      <x:c r="G218" s="17" t="n">
        <x:v>33550</x:v>
      </x:c>
      <x:c r="H218" s="17" t="n">
        <x:f>G218*F218</x:f>
        <x:v>33550</x:v>
      </x:c>
      <x:c r="I218" s="22" t="str">
        <x:f>HYPERLINK("https://etp-aktiv.ru/catalog/materialy/nizkovoltnaya-apparatura-i-zapasnye-chasti/2000459619-U121/","Открыть позицию")</x:f>
        <x:v>Открыть позицию</x:v>
      </x:c>
    </x:row>
    <x:row r="219" ht="28" customHeight="1">
      <x:c r="A219" s="16" t="str">
        <x:v>Кемеровская теплосетевая компания</x:v>
      </x:c>
      <x:c r="B219" s="16" t="str">
        <x:v>2000036536-U121</x:v>
      </x:c>
      <x:c r="C219" s="16" t="str">
        <x:v>ПУСКАТЕЛЬ ПМА-4200 220В</x:v>
      </x:c>
      <x:c r="D219" s="16" t="str">
        <x:v>Низковольтная аппаратура и запасные части</x:v>
      </x:c>
      <x:c r="E219" s="16" t="str">
        <x:v>ШТ</x:v>
      </x:c>
      <x:c r="F219" s="21" t="n">
        <x:v>2</x:v>
      </x:c>
      <x:c r="G219" s="17" t="n">
        <x:v>2806</x:v>
      </x:c>
      <x:c r="H219" s="17" t="n">
        <x:f>G219*F219</x:f>
        <x:v>5612</x:v>
      </x:c>
      <x:c r="I219" s="22" t="str">
        <x:f>HYPERLINK("https://etp-aktiv.ru/catalog/materialy/nizkovoltnaya-apparatura-i-zapasnye-chasti/2000036536-U121/","Открыть позицию")</x:f>
        <x:v>Открыть позицию</x:v>
      </x:c>
    </x:row>
    <x:row r="220" ht="28" customHeight="1">
      <x:c r="A220" s="16" t="str">
        <x:v>Кемеровская теплосетевая компания</x:v>
      </x:c>
      <x:c r="B220" s="16" t="str">
        <x:v>2000463033-U121</x:v>
      </x:c>
      <x:c r="C220" s="16" t="str">
        <x:v>РАЗЪЕМ РРМ77/4С 220В 10А</x:v>
      </x:c>
      <x:c r="D220" s="16" t="str">
        <x:v>Осветительная продукция и изделия электроустановочные</x:v>
      </x:c>
      <x:c r="E220" s="16" t="str">
        <x:v>ШТ</x:v>
      </x:c>
      <x:c r="F220" s="21" t="n">
        <x:v>10</x:v>
      </x:c>
      <x:c r="G220" s="17" t="n">
        <x:v>190.0028</x:v>
      </x:c>
      <x:c r="H220" s="17" t="n">
        <x:f>G220*F220</x:f>
        <x:v>1900.028</x:v>
      </x:c>
      <x:c r="I220" s="22" t="str">
        <x:f>HYPERLINK("https://etp-aktiv.ru/catalog/materialy/ehlektrotekhnicheskie-materialy/2000463033-U121/","Открыть позицию")</x:f>
        <x:v>Открыть позицию</x:v>
      </x:c>
    </x:row>
    <x:row r="221" ht="28" customHeight="1">
      <x:c r="A221" s="16" t="str">
        <x:v>Кемеровская теплосетевая компания</x:v>
      </x:c>
      <x:c r="B221" s="16" t="str">
        <x:v>2000593515-U121</x:v>
      </x:c>
      <x:c r="C221" s="16" t="str">
        <x:v>РАСХОДОМЕР ВЗЛЕТ МР УРСВ-542Ц</x:v>
      </x:c>
      <x:c r="D221" s="16" t="str">
        <x:v>Запасные части и принадлежности для приборов КИПиА</x:v>
      </x:c>
      <x:c r="E221" s="16" t="str">
        <x:v>ШТ</x:v>
      </x:c>
      <x:c r="F221" s="21" t="n">
        <x:v>1</x:v>
      </x:c>
      <x:c r="G221" s="17" t="n">
        <x:v>556704.2999999999</x:v>
      </x:c>
      <x:c r="H221" s="17" t="n">
        <x:f>G221*F221</x:f>
        <x:v>556704.2999999999</x:v>
      </x:c>
      <x:c r="I221" s="22" t="str">
        <x:f>HYPERLINK("https://etp-aktiv.ru/catalog/materialy/zapasnye-chasti-i-prinadlezhnosti-dlya-priborov-kipia/2000593515-U121/","Открыть позицию")</x:f>
        <x:v>Открыть позицию</x:v>
      </x:c>
    </x:row>
    <x:row r="222" ht="28" customHeight="1">
      <x:c r="A222" s="16" t="str">
        <x:v>Кемеровская теплосетевая компания</x:v>
      </x:c>
      <x:c r="B222" s="16" t="str">
        <x:v>2000943835-U121</x:v>
      </x:c>
      <x:c r="C222" s="16" t="str">
        <x:v>РЕЛЕ CHINT NR2-25 0,63-1A 268136</x:v>
      </x:c>
      <x:c r="D222" s="16" t="str">
        <x:v>Низковольтная аппаратура и запасные части</x:v>
      </x:c>
      <x:c r="E222" s="16" t="str">
        <x:v>ШТ</x:v>
      </x:c>
      <x:c r="F222" s="21" t="n">
        <x:v>1</x:v>
      </x:c>
      <x:c r="G222" s="17" t="n">
        <x:v>1660.725</x:v>
      </x:c>
      <x:c r="H222" s="17" t="n">
        <x:f>G222*F222</x:f>
        <x:v>1660.725</x:v>
      </x:c>
      <x:c r="I222" s="22" t="str">
        <x:f>HYPERLINK("https://etp-aktiv.ru/catalog/materialy/nizkovoltnaya-apparatura-i-zapasnye-chasti/2000943835-U121/","Открыть позицию")</x:f>
        <x:v>Открыть позицию</x:v>
      </x:c>
    </x:row>
    <x:row r="223" ht="28" customHeight="1">
      <x:c r="A223" s="16" t="str">
        <x:v>Кемеровская теплосетевая компания</x:v>
      </x:c>
      <x:c r="B223" s="16" t="str">
        <x:v>2000157194-U121</x:v>
      </x:c>
      <x:c r="C223" s="16" t="str">
        <x:v>РЕЛЕ ЕЛ-11М-15 400В</x:v>
      </x:c>
      <x:c r="D223" s="16" t="str">
        <x:v>Низковольтная аппаратура и запасные части</x:v>
      </x:c>
      <x:c r="E223" s="16" t="str">
        <x:v>ШТ</x:v>
      </x:c>
      <x:c r="F223" s="21" t="n">
        <x:v>4</x:v>
      </x:c>
      <x:c r="G223" s="17" t="n">
        <x:v>1574.1294</x:v>
      </x:c>
      <x:c r="H223" s="17" t="n">
        <x:f>G223*F223</x:f>
        <x:v>6296.5176</x:v>
      </x:c>
      <x:c r="I223" s="22" t="str">
        <x:f>HYPERLINK("https://etp-aktiv.ru/catalog/materialy/nizkovoltnaya-apparatura-i-zapasnye-chasti/2000157194-U121/","Открыть позицию")</x:f>
        <x:v>Открыть позицию</x:v>
      </x:c>
    </x:row>
    <x:row r="224" ht="28" customHeight="1">
      <x:c r="A224" s="16" t="str">
        <x:v>Кемеровская теплосетевая компания</x:v>
      </x:c>
      <x:c r="B224" s="16" t="str">
        <x:v>2000536086-U121</x:v>
      </x:c>
      <x:c r="C224" s="16" t="str">
        <x:v>РЕЛЕ РТИ-1322 17-25А</x:v>
      </x:c>
      <x:c r="D224" s="16" t="str">
        <x:v>Низковольтная аппаратура и запасные части</x:v>
      </x:c>
      <x:c r="E224" s="16" t="str">
        <x:v>ШТ</x:v>
      </x:c>
      <x:c r="F224" s="21" t="n">
        <x:v>9</x:v>
      </x:c>
      <x:c r="G224" s="17" t="n">
        <x:v>267.729</x:v>
      </x:c>
      <x:c r="H224" s="17" t="n">
        <x:f>G224*F224</x:f>
        <x:v>2409.5609999999997</x:v>
      </x:c>
      <x:c r="I224" s="22" t="str">
        <x:f>HYPERLINK("https://etp-aktiv.ru/catalog/materialy/nizkovoltnaya-apparatura-i-zapasnye-chasti/2000536086-U121/","Открыть позицию")</x:f>
        <x:v>Открыть позицию</x:v>
      </x:c>
    </x:row>
    <x:row r="225" ht="28" customHeight="1">
      <x:c r="A225" s="16" t="str">
        <x:v>Кемеровская теплосетевая компания</x:v>
      </x:c>
      <x:c r="B225" s="16" t="str">
        <x:v>2000475172-U121</x:v>
      </x:c>
      <x:c r="C225" s="16" t="str">
        <x:v>РЕЛЕ РТИ-1322 25А</x:v>
      </x:c>
      <x:c r="D225" s="16" t="str">
        <x:v>Низковольтная аппаратура и запасные части</x:v>
      </x:c>
      <x:c r="E225" s="16" t="str">
        <x:v>ШТ</x:v>
      </x:c>
      <x:c r="F225" s="21" t="n">
        <x:v>6</x:v>
      </x:c>
      <x:c r="G225" s="17" t="n">
        <x:v>267.729</x:v>
      </x:c>
      <x:c r="H225" s="17" t="n">
        <x:f>G225*F225</x:f>
        <x:v>1606.3739999999998</x:v>
      </x:c>
      <x:c r="I225" s="22" t="str">
        <x:f>HYPERLINK("https://etp-aktiv.ru/catalog/materialy/nizkovoltnaya-apparatura-i-zapasnye-chasti/2000475172-U121/","Открыть позицию")</x:f>
        <x:v>Открыть позицию</x:v>
      </x:c>
    </x:row>
    <x:row r="226" ht="28" customHeight="1">
      <x:c r="A226" s="16" t="str">
        <x:v>Кемеровская теплосетевая компания</x:v>
      </x:c>
      <x:c r="B226" s="16" t="str">
        <x:v>2000567766-U121</x:v>
      </x:c>
      <x:c r="C226" s="16" t="str">
        <x:v>РЕЛЕ РТТ-211 УХЛ4 440/660В 63А</x:v>
      </x:c>
      <x:c r="D226" s="16" t="str">
        <x:v>Низковольтная аппаратура и запасные части</x:v>
      </x:c>
      <x:c r="E226" s="16" t="str">
        <x:v>ШТ</x:v>
      </x:c>
      <x:c r="F226" s="21" t="n">
        <x:v>1</x:v>
      </x:c>
      <x:c r="G226" s="17" t="n">
        <x:v>1609.6924000000001</x:v>
      </x:c>
      <x:c r="H226" s="17" t="n">
        <x:f>G226*F226</x:f>
        <x:v>1609.6924000000001</x:v>
      </x:c>
      <x:c r="I226" s="22" t="str">
        <x:f>HYPERLINK("https://etp-aktiv.ru/catalog/materialy/nizkovoltnaya-apparatura-i-zapasnye-chasti/2000567766-U121/","Открыть позицию")</x:f>
        <x:v>Открыть позицию</x:v>
      </x:c>
    </x:row>
    <x:row r="227" ht="28" customHeight="1">
      <x:c r="A227" s="16" t="str">
        <x:v>Кемеровская теплосетевая компания</x:v>
      </x:c>
      <x:c r="B227" s="16" t="str">
        <x:v>2000668219-U121</x:v>
      </x:c>
      <x:c r="C227" s="16" t="str">
        <x:v>РОЗЕТКА 2 СКР РС16-232 ХИТ 250В 16А IP20</x:v>
      </x:c>
      <x:c r="D227" s="16" t="str">
        <x:v>Осветительная продукция и изделия электроустановочные</x:v>
      </x:c>
      <x:c r="E227" s="16" t="str">
        <x:v>ШТ</x:v>
      </x:c>
      <x:c r="F227" s="21" t="n">
        <x:v>4</x:v>
      </x:c>
      <x:c r="G227" s="17" t="n">
        <x:v>72.51679999999999</x:v>
      </x:c>
      <x:c r="H227" s="17" t="n">
        <x:f>G227*F227</x:f>
        <x:v>290.06719999999996</x:v>
      </x:c>
      <x:c r="I227" s="22" t="str">
        <x:f>HYPERLINK("https://etp-aktiv.ru/catalog/materialy/ehlektrotekhnicheskie-materialy/2000668219-U121/","Открыть позицию")</x:f>
        <x:v>Открыть позицию</x:v>
      </x:c>
    </x:row>
    <x:row r="228" ht="28" customHeight="1">
      <x:c r="A228" s="16" t="str">
        <x:v>Кемеровская теплосетевая компания</x:v>
      </x:c>
      <x:c r="B228" s="16" t="str">
        <x:v>2000545333-U121</x:v>
      </x:c>
      <x:c r="C228" s="16" t="str">
        <x:v>РОЗЕТКА SQ1801-0015 2П+3 250В 16А IP20</x:v>
      </x:c>
      <x:c r="D228" s="16" t="str">
        <x:v>Осветительная продукция и изделия электроустановочные</x:v>
      </x:c>
      <x:c r="E228" s="16" t="str">
        <x:v>ШТ</x:v>
      </x:c>
      <x:c r="F228" s="21" t="n">
        <x:v>15</x:v>
      </x:c>
      <x:c r="G228" s="17" t="n">
        <x:v>37.82</x:v>
      </x:c>
      <x:c r="H228" s="17" t="n">
        <x:f>G228*F228</x:f>
        <x:v>567.3</x:v>
      </x:c>
      <x:c r="I228" s="22" t="str">
        <x:f>HYPERLINK("https://etp-aktiv.ru/catalog/materialy/ehlektrotekhnicheskie-materialy/2000545333-U121/","Открыть позицию")</x:f>
        <x:v>Открыть позицию</x:v>
      </x:c>
    </x:row>
    <x:row r="229" ht="28" customHeight="1">
      <x:c r="A229" s="16" t="str">
        <x:v>Кемеровская теплосетевая компания</x:v>
      </x:c>
      <x:c r="B229" s="16" t="str">
        <x:v>2000545325-U121</x:v>
      </x:c>
      <x:c r="C229" s="16" t="str">
        <x:v>РОЗЕТКА SQ1801-0019 2П+3 220-250 16 IP20</x:v>
      </x:c>
      <x:c r="D229" s="16" t="str">
        <x:v>Осветительная продукция и изделия электроустановочные</x:v>
      </x:c>
      <x:c r="E229" s="16" t="str">
        <x:v>ШТ</x:v>
      </x:c>
      <x:c r="F229" s="21" t="n">
        <x:v>15</x:v>
      </x:c>
      <x:c r="G229" s="17" t="n">
        <x:v>78.69</x:v>
      </x:c>
      <x:c r="H229" s="17" t="n">
        <x:f>G229*F229</x:f>
        <x:v>1180.35</x:v>
      </x:c>
      <x:c r="I229" s="22" t="str">
        <x:f>HYPERLINK("https://etp-aktiv.ru/catalog/materialy/ehlektrotekhnicheskie-materialy/2000545325-U121/","Открыть позицию")</x:f>
        <x:v>Открыть позицию</x:v>
      </x:c>
    </x:row>
    <x:row r="230" ht="28" customHeight="1">
      <x:c r="A230" s="16" t="str">
        <x:v>Кемеровская теплосетевая компания</x:v>
      </x:c>
      <x:c r="B230" s="16" t="str">
        <x:v>2000545550-U121</x:v>
      </x:c>
      <x:c r="C230" s="16" t="str">
        <x:v>СВЕТИЛЬНИК НПП 03-100-001М У3 E27 100ВТ</x:v>
      </x:c>
      <x:c r="D230" s="16" t="str">
        <x:v>Осветительная продукция и изделия электроустановочные</x:v>
      </x:c>
      <x:c r="E230" s="16" t="str">
        <x:v>ШТ</x:v>
      </x:c>
      <x:c r="F230" s="21" t="n">
        <x:v>6</x:v>
      </x:c>
      <x:c r="G230" s="17" t="n">
        <x:v>395.9632</x:v>
      </x:c>
      <x:c r="H230" s="17" t="n">
        <x:f>G230*F230</x:f>
        <x:v>2375.7792</x:v>
      </x:c>
      <x:c r="I230" s="22" t="str">
        <x:f>HYPERLINK("https://etp-aktiv.ru/catalog/materialy/ehlektrotekhnicheskie-materialy/2000545550-U121/","Открыть позицию")</x:f>
        <x:v>Открыть позицию</x:v>
      </x:c>
    </x:row>
    <x:row r="231" ht="28" customHeight="1">
      <x:c r="A231" s="16" t="str">
        <x:v>Кемеровская теплосетевая компания</x:v>
      </x:c>
      <x:c r="B231" s="16" t="str">
        <x:v>2000995244-U121</x:v>
      </x:c>
      <x:c r="C231" s="16" t="str">
        <x:v>ТЕРМОМЕТР СОПР ТСТМ-02-06-50М-КЛ.А-4ПРОВ</x:v>
      </x:c>
      <x:c r="D231" s="16" t="str">
        <x:v>Запасные части и принадлежности для приборов КИПиА</x:v>
      </x:c>
      <x:c r="E231" s="16" t="str">
        <x:v>ШТ</x:v>
      </x:c>
      <x:c r="F231" s="21" t="n">
        <x:v>2</x:v>
      </x:c>
      <x:c r="G231" s="17" t="n">
        <x:v>1281</x:v>
      </x:c>
      <x:c r="H231" s="17" t="n">
        <x:f>G231*F231</x:f>
        <x:v>2562</x:v>
      </x:c>
      <x:c r="I231" s="22" t="str">
        <x:f>HYPERLINK("https://etp-aktiv.ru/catalog/materialy/zapasnye-chasti-i-prinadlezhnosti-dlya-priborov-kipia/2000995244-U121/","Открыть позицию")</x:f>
        <x:v>Открыть позицию</x:v>
      </x:c>
    </x:row>
    <x:row r="232" ht="28" customHeight="1">
      <x:c r="A232" s="16" t="str">
        <x:v>Кемеровская теплосетевая компания</x:v>
      </x:c>
      <x:c r="B232" s="16" t="str">
        <x:v>2000995243-U121</x:v>
      </x:c>
      <x:c r="C232" s="16" t="str">
        <x:v>ТЕРМОМЕТР СОПР ТСТМ-04-03-50М-КЛ.А-3ПРОВ</x:v>
      </x:c>
      <x:c r="D232" s="16" t="str">
        <x:v>Запасные части и принадлежности для приборов КИПиА</x:v>
      </x:c>
      <x:c r="E232" s="16" t="str">
        <x:v>ШТ</x:v>
      </x:c>
      <x:c r="F232" s="21" t="n">
        <x:v>2</x:v>
      </x:c>
      <x:c r="G232" s="17" t="n">
        <x:v>1491.45</x:v>
      </x:c>
      <x:c r="H232" s="17" t="n">
        <x:f>G232*F232</x:f>
        <x:v>2982.9</x:v>
      </x:c>
      <x:c r="I232" s="22" t="str">
        <x:f>HYPERLINK("https://etp-aktiv.ru/catalog/materialy/zapasnye-chasti-i-prinadlezhnosti-dlya-priborov-kipia/2000995243-U121/","Открыть позицию")</x:f>
        <x:v>Открыть позицию</x:v>
      </x:c>
    </x:row>
    <x:row r="233" ht="28" customHeight="1">
      <x:c r="A233" s="16" t="str">
        <x:v>Кемеровская теплосетевая компания</x:v>
      </x:c>
      <x:c r="B233" s="16" t="str">
        <x:v>2001055297-U121</x:v>
      </x:c>
      <x:c r="C233" s="16" t="str">
        <x:v>ТРАНСФОРМАТОР TDM SQ1101-1064</x:v>
      </x:c>
      <x:c r="D233" s="16" t="str">
        <x:v>Трансформаторы измерительные</x:v>
      </x:c>
      <x:c r="E233" s="16" t="str">
        <x:v>ШТ</x:v>
      </x:c>
      <x:c r="F233" s="21" t="n">
        <x:v>6</x:v>
      </x:c>
      <x:c r="G233" s="17" t="n">
        <x:v>2476.9049999999997</x:v>
      </x:c>
      <x:c r="H233" s="17" t="n">
        <x:f>G233*F233</x:f>
        <x:v>14861.429999999998</x:v>
      </x:c>
      <x:c r="I233" s="22" t="str">
        <x:f>HYPERLINK("https://etp-aktiv.ru/catalog/materialy/ehlektrotekhnicheskie-materialy/2001055297-U121/","Открыть позицию")</x:f>
        <x:v>Открыть позицию</x:v>
      </x:c>
    </x:row>
    <x:row r="234" ht="28" customHeight="1">
      <x:c r="A234" s="16" t="str">
        <x:v>Кемеровская теплосетевая компания</x:v>
      </x:c>
      <x:c r="B234" s="16" t="str">
        <x:v>2000042883-U121</x:v>
      </x:c>
      <x:c r="C234" s="16" t="str">
        <x:v>ТРАНСФОРМАТОР ЯТП-250 220/12</x:v>
      </x:c>
      <x:c r="D234" s="16" t="str">
        <x:v>Трансформаторы измерительные</x:v>
      </x:c>
      <x:c r="E234" s="16" t="str">
        <x:v>ШТ</x:v>
      </x:c>
      <x:c r="F234" s="21" t="n">
        <x:v>2</x:v>
      </x:c>
      <x:c r="G234" s="17" t="n">
        <x:v>2150.25</x:v>
      </x:c>
      <x:c r="H234" s="17" t="n">
        <x:f>G234*F234</x:f>
        <x:v>4300.5</x:v>
      </x:c>
      <x:c r="I234" s="22" t="str">
        <x:f>HYPERLINK("https://etp-aktiv.ru/catalog/materialy/ehlektrotekhnicheskie-materialy/2000042883-U121/","Открыть позицию")</x:f>
        <x:v>Открыть позицию</x:v>
      </x:c>
    </x:row>
    <x:row r="235" ht="28" customHeight="1">
      <x:c r="A235" s="16" t="str">
        <x:v>Кемеровская теплосетевая компания</x:v>
      </x:c>
      <x:c r="B235" s="16" t="str">
        <x:v>2000241487-U121</x:v>
      </x:c>
      <x:c r="C235" s="16" t="str">
        <x:v>УСТРОЙСТВО ОТБОРНОЕ 016-70-СТ20-МП</x:v>
      </x:c>
      <x:c r="D235" s="16" t="str">
        <x:v>Запасные части и принадлежности для приборов КИПиА</x:v>
      </x:c>
      <x:c r="E235" s="16" t="str">
        <x:v>ШТ</x:v>
      </x:c>
      <x:c r="F235" s="21" t="n">
        <x:v>4</x:v>
      </x:c>
      <x:c r="G235" s="17" t="n">
        <x:v>954.04</x:v>
      </x:c>
      <x:c r="H235" s="17" t="n">
        <x:f>G235*F235</x:f>
        <x:v>3816.16</x:v>
      </x:c>
      <x:c r="I235" s="22" t="str">
        <x:f>HYPERLINK("https://etp-aktiv.ru/catalog/materialy/zapasnye-chasti-i-prinadlezhnosti-dlya-priborov-kipia/2000241487-U121/","Открыть позицию")</x:f>
        <x:v>Открыть позицию</x:v>
      </x:c>
    </x:row>
    <x:row r="236" ht="28" customHeight="1">
      <x:c r="A236" s="16" t="str">
        <x:v>Кемеровская теплосетевая компания</x:v>
      </x:c>
      <x:c r="B236" s="16" t="str">
        <x:v>2000303674-U121</x:v>
      </x:c>
      <x:c r="C236" s="16" t="str">
        <x:v>ШИНА НУЛЕВАЯ 2Х7 IEK YND10-2-07-100</x:v>
      </x:c>
      <x:c r="D236" s="16" t="str">
        <x:v>Низковольтная аппаратура и запасные части</x:v>
      </x:c>
      <x:c r="E236" s="16" t="str">
        <x:v>ШТ</x:v>
      </x:c>
      <x:c r="F236" s="21" t="n">
        <x:v>1</x:v>
      </x:c>
      <x:c r="G236" s="17" t="n">
        <x:v>344.7964</x:v>
      </x:c>
      <x:c r="H236" s="17" t="n">
        <x:f>G236*F236</x:f>
        <x:v>344.7964</x:v>
      </x:c>
      <x:c r="I236" s="22" t="str">
        <x:f>HYPERLINK("https://etp-aktiv.ru/catalog/materialy/nizkovoltnaya-apparatura-i-zapasnye-chasti/2000303674-U121/","Открыть позицию")</x:f>
        <x:v>Открыть позицию</x:v>
      </x:c>
    </x:row>
    <x:row r="237" ht="28" customHeight="1">
      <x:c r="A237" s="16" t="str">
        <x:v>Кемеровская теплосетевая компания</x:v>
      </x:c>
      <x:c r="B237" s="16" t="str">
        <x:v>2000219376-U121</x:v>
      </x:c>
      <x:c r="C237" s="16" t="str">
        <x:v>Э/ДВИГ 5АМ112М4 5,5/380/1500/IM1081</x:v>
      </x:c>
      <x:c r="D237" s="16" t="str">
        <x:v>Электродвигатели стандартные</x:v>
      </x:c>
      <x:c r="E237" s="16" t="str">
        <x:v>ШТ</x:v>
      </x:c>
      <x:c r="F237" s="21" t="n">
        <x:v>1</x:v>
      </x:c>
      <x:c r="G237" s="17" t="n">
        <x:v>19520</x:v>
      </x:c>
      <x:c r="H237" s="17" t="n">
        <x:f>G237*F237</x:f>
        <x:v>19520</x:v>
      </x:c>
      <x:c r="I237" s="22" t="str">
        <x:f>HYPERLINK("https://etp-aktiv.ru/catalog/materialy/ehlektrodvigateli/2000219376-U121/","Открыть позицию")</x:f>
        <x:v>Открыть позицию</x:v>
      </x:c>
    </x:row>
    <x:row r="238" ht="28" customHeight="1">
      <x:c r="A238" s="16" t="str">
        <x:v>Кемеровская теплосетевая компания</x:v>
      </x:c>
      <x:c r="B238" s="16" t="str">
        <x:v>2000226614-U121</x:v>
      </x:c>
      <x:c r="C238" s="16" t="str">
        <x:v>ЭЛЕКТРОПРИВОД СП-6М 160В ЮКЛЯ.303341-007</x:v>
      </x:c>
      <x:c r="D238" s="16" t="str">
        <x:v>Запасные части и принадлежности для приборов КИПиА</x:v>
      </x:c>
      <x:c r="E238" s="16" t="str">
        <x:v>ШТ</x:v>
      </x:c>
      <x:c r="F238" s="21" t="n">
        <x:v>3</x:v>
      </x:c>
      <x:c r="G238" s="17" t="n">
        <x:v>57736.5</x:v>
      </x:c>
      <x:c r="H238" s="17" t="n">
        <x:f>G238*F238</x:f>
        <x:v>173209.5</x:v>
      </x:c>
      <x:c r="I238" s="22" t="str">
        <x:f>HYPERLINK("https://etp-aktiv.ru/catalog/materialy/zapasnye-chasti-i-prinadlezhnosti-dlya-priborov-kipia/2000226614-U121/","Открыть позицию")</x:f>
        <x:v>Открыть позицию</x:v>
      </x:c>
    </x:row>
    <x:row r="239" ht="28" customHeight="1">
      <x:c r="A239" s="16" t="str">
        <x:v>Кемеровская теплосетевая компания</x:v>
      </x:c>
      <x:c r="B239" s="16" t="str">
        <x:v>2000145383-U121</x:v>
      </x:c>
      <x:c r="C239" s="16" t="str">
        <x:v>ЭЛЕКТРОСЧЕТЧИК СЭТ-4ТМ.03</x:v>
      </x:c>
      <x:c r="D239" s="16" t="str">
        <x:v>Запасные части и принадлежности для приборов КИПиА</x:v>
      </x:c>
      <x:c r="E239" s="16" t="str">
        <x:v>ШТ</x:v>
      </x:c>
      <x:c r="F239" s="21" t="n">
        <x:v>2</x:v>
      </x:c>
      <x:c r="G239" s="17" t="n">
        <x:v>44408</x:v>
      </x:c>
      <x:c r="H239" s="17" t="n">
        <x:f>G239*F239</x:f>
        <x:v>88816</x:v>
      </x:c>
      <x:c r="I239" s="22" t="str">
        <x:f>HYPERLINK("https://etp-aktiv.ru/catalog/materialy/zapasnye-chasti-i-prinadlezhnosti-dlya-priborov-kipia/2000145383-U121/","Открыть позицию")</x:f>
        <x:v>Открыть позицию</x:v>
      </x:c>
    </x:row>
    <x:row r="240" ht="28" customHeight="1">
      <x:c r="A240" s="16" t="str">
        <x:v>Кемеровская теплосетевая компания</x:v>
      </x:c>
      <x:c r="B240" s="16" t="str">
        <x:v>2000145648-U121</x:v>
      </x:c>
      <x:c r="C240" s="16" t="str">
        <x:v>ЭЛЕМЕНТ ПИТАНИЯ ОРИОН 373 R20</x:v>
      </x:c>
      <x:c r="D240" s="16" t="str">
        <x:v>Элементы питания</x:v>
      </x:c>
      <x:c r="E240" s="16" t="str">
        <x:v>ШТ</x:v>
      </x:c>
      <x:c r="F240" s="21" t="n">
        <x:v>5</x:v>
      </x:c>
      <x:c r="G240" s="17" t="n">
        <x:v>1555.5</x:v>
      </x:c>
      <x:c r="H240" s="17" t="n">
        <x:f>G240*F240</x:f>
        <x:v>7777.5</x:v>
      </x:c>
      <x:c r="I240" s="22" t="str">
        <x:f>HYPERLINK("https://etp-aktiv.ru/catalog/materialy/akkumulyatory/2000145648-U121/","Открыть позицию")</x:f>
        <x:v>Открыть позицию</x:v>
      </x:c>
    </x:row>
    <x:row r="241" ht="28" customHeight="1">
      <x:c r="A241" s="16" t="str">
        <x:v>Ново-Кемеровская ТЭЦ</x:v>
      </x:c>
      <x:c r="B241" s="16" t="str">
        <x:v>2000282741-U411</x:v>
      </x:c>
      <x:c r="C241" s="16" t="str">
        <x:v>А ЛАМПА OSRAM H1 24V 70W P14,5S</x:v>
      </x:c>
      <x:c r="D241" s="16" t="str">
        <x:v>Осветит-я продукция и изделия э/установоч спец-е и под заказ</x:v>
      </x:c>
      <x:c r="E241" s="16" t="str">
        <x:v>ШТ</x:v>
      </x:c>
      <x:c r="F241" s="21" t="n">
        <x:v>20</x:v>
      </x:c>
      <x:c r="G241" s="17" t="n">
        <x:v>80.7884</x:v>
      </x:c>
      <x:c r="H241" s="17" t="n">
        <x:f>G241*F241</x:f>
        <x:v>1615.768</x:v>
      </x:c>
      <x:c r="I241" s="22" t="str">
        <x:f>HYPERLINK("https://etp-aktiv.ru/catalog/materialy/ehlektrotekhnicheskie-materialy/2000282741-U411/","Открыть позицию")</x:f>
        <x:v>Открыть позицию</x:v>
      </x:c>
    </x:row>
    <x:row r="242" ht="28" customHeight="1">
      <x:c r="A242" s="16" t="str">
        <x:v>Ново-Кемеровская ТЭЦ</x:v>
      </x:c>
      <x:c r="B242" s="16" t="str">
        <x:v>2000508736-U411</x:v>
      </x:c>
      <x:c r="C242" s="16" t="str">
        <x:v>БОГРЕВАТЕЛЬ ТЕПЛОФОН ЭРГНА 0,5/220(П)КТ</x:v>
      </x:c>
      <x:c r="D242" s="16" t="str">
        <x:v>Низковольтная аппаратура и запасные части</x:v>
      </x:c>
      <x:c r="E242" s="16" t="str">
        <x:v>ШТ</x:v>
      </x:c>
      <x:c r="F242" s="21" t="n">
        <x:v>2</x:v>
      </x:c>
      <x:c r="G242" s="17" t="n">
        <x:v>3709.41</x:v>
      </x:c>
      <x:c r="H242" s="17" t="n">
        <x:f>G242*F242</x:f>
        <x:v>7418.82</x:v>
      </x:c>
      <x:c r="I242" s="22" t="str">
        <x:f>HYPERLINK("https://etp-aktiv.ru/catalog/materialy/nizkovoltnaya-apparatura-i-zapasnye-chasti/2000508736-U411/","Открыть позицию")</x:f>
        <x:v>Открыть позицию</x:v>
      </x:c>
    </x:row>
    <x:row r="243" ht="28" customHeight="1">
      <x:c r="A243" s="16" t="str">
        <x:v>Ново-Кемеровская ТЭЦ</x:v>
      </x:c>
      <x:c r="B243" s="16" t="str">
        <x:v>2000175340-U411</x:v>
      </x:c>
      <x:c r="C243" s="16" t="str">
        <x:v>ВИЛКА 023 2Р+РЕ 220 32 IP44</x:v>
      </x:c>
      <x:c r="D243" s="16" t="str">
        <x:v>Осветительная продукция и изделия электроустановочные</x:v>
      </x:c>
      <x:c r="E243" s="16" t="str">
        <x:v>ШТ</x:v>
      </x:c>
      <x:c r="F243" s="21" t="n">
        <x:v>5</x:v>
      </x:c>
      <x:c r="G243" s="17" t="n">
        <x:v>210.45</x:v>
      </x:c>
      <x:c r="H243" s="17" t="n">
        <x:f>G243*F243</x:f>
        <x:v>1052.25</x:v>
      </x:c>
      <x:c r="I243" s="22" t="str">
        <x:f>HYPERLINK("https://etp-aktiv.ru/catalog/materialy/ehlektrotekhnicheskie-materialy/2000175340-U411/","Открыть позицию")</x:f>
        <x:v>Открыть позицию</x:v>
      </x:c>
    </x:row>
    <x:row r="244" ht="28" customHeight="1">
      <x:c r="A244" s="16" t="str">
        <x:v>Ново-Кемеровская ТЭЦ</x:v>
      </x:c>
      <x:c r="B244" s="16" t="str">
        <x:v>2000189196-U411</x:v>
      </x:c>
      <x:c r="C244" s="16" t="str">
        <x:v>ВИЛКА PSR02-032-5 380В 32А IP44</x:v>
      </x:c>
      <x:c r="D244" s="16" t="str">
        <x:v>Осветительная продукция и изделия электроустановочные</x:v>
      </x:c>
      <x:c r="E244" s="16" t="str">
        <x:v>ШТ</x:v>
      </x:c>
      <x:c r="F244" s="21" t="n">
        <x:v>24</x:v>
      </x:c>
      <x:c r="G244" s="17" t="n">
        <x:v>96.5752</x:v>
      </x:c>
      <x:c r="H244" s="17" t="n">
        <x:f>G244*F244</x:f>
        <x:v>2317.8048</x:v>
      </x:c>
      <x:c r="I244" s="22" t="str">
        <x:f>HYPERLINK("https://etp-aktiv.ru/catalog/materialy/ehlektrotekhnicheskie-materialy/2000189196-U411/","Открыть позицию")</x:f>
        <x:v>Открыть позицию</x:v>
      </x:c>
    </x:row>
    <x:row r="245" ht="28" customHeight="1">
      <x:c r="A245" s="16" t="str">
        <x:v>Ново-Кемеровская ТЭЦ</x:v>
      </x:c>
      <x:c r="B245" s="16" t="str">
        <x:v>2000544901-U411</x:v>
      </x:c>
      <x:c r="C245" s="16" t="str">
        <x:v>ВИЛКА А112 250В 16А IP20</x:v>
      </x:c>
      <x:c r="D245" s="16" t="str">
        <x:v>Осветительная продукция и изделия электроустановочные</x:v>
      </x:c>
      <x:c r="E245" s="16" t="str">
        <x:v>ШТ</x:v>
      </x:c>
      <x:c r="F245" s="21" t="n">
        <x:v>1</x:v>
      </x:c>
      <x:c r="G245" s="17" t="n">
        <x:v>11.4436</x:v>
      </x:c>
      <x:c r="H245" s="17" t="n">
        <x:f>G245*F245</x:f>
        <x:v>11.4436</x:v>
      </x:c>
      <x:c r="I245" s="22" t="str">
        <x:f>HYPERLINK("https://etp-aktiv.ru/catalog/materialy/ehlektrotekhnicheskie-materialy/2000544901-U411/","Открыть позицию")</x:f>
        <x:v>Открыть позицию</x:v>
      </x:c>
    </x:row>
    <x:row r="246" ht="28" customHeight="1">
      <x:c r="A246" s="16" t="str">
        <x:v>Ново-Кемеровская ТЭЦ</x:v>
      </x:c>
      <x:c r="B246" s="16" t="str">
        <x:v>2000553473-U411</x:v>
      </x:c>
      <x:c r="C246" s="16" t="str">
        <x:v>ВИЛКА ТЕЛЕФОННАЯ УНИВЕРС 03-0012 REXANT</x:v>
      </x:c>
      <x:c r="D246" s="16" t="str">
        <x:v>З/ч обор связи/телеф</x:v>
      </x:c>
      <x:c r="E246" s="16" t="str">
        <x:v>ШТ</x:v>
      </x:c>
      <x:c r="F246" s="21" t="n">
        <x:v>30</x:v>
      </x:c>
      <x:c r="G246" s="17" t="n">
        <x:v>11.59</x:v>
      </x:c>
      <x:c r="H246" s="17" t="n">
        <x:f>G246*F246</x:f>
        <x:v>347.7</x:v>
      </x:c>
      <x:c r="I246" s="22" t="str">
        <x:f>HYPERLINK("https://etp-aktiv.ru/catalog/materialy/prochie-materialy/2000553473-U411/","Открыть позицию")</x:f>
        <x:v>Открыть позицию</x:v>
      </x:c>
    </x:row>
    <x:row r="247" ht="28" customHeight="1">
      <x:c r="A247" s="16" t="str">
        <x:v>Ново-Кемеровская ТЭЦ</x:v>
      </x:c>
      <x:c r="B247" s="16" t="str">
        <x:v>2000535298-U411</x:v>
      </x:c>
      <x:c r="C247" s="16" t="str">
        <x:v>ВЫКЛЮЧАТЕЛЬ АЕ 2016-10Н 12IН 2,5А</x:v>
      </x:c>
      <x:c r="D247" s="16" t="str">
        <x:v>Низковольтная аппаратура и запасные части</x:v>
      </x:c>
      <x:c r="E247" s="16" t="str">
        <x:v>ШТ</x:v>
      </x:c>
      <x:c r="F247" s="21" t="n">
        <x:v>15</x:v>
      </x:c>
      <x:c r="G247" s="17" t="n">
        <x:v>368.29359999999997</x:v>
      </x:c>
      <x:c r="H247" s="17" t="n">
        <x:f>G247*F247</x:f>
        <x:v>5524.4039999999995</x:v>
      </x:c>
      <x:c r="I247" s="22" t="str">
        <x:f>HYPERLINK("https://etp-aktiv.ru/catalog/materialy/nizkovoltnaya-apparatura-i-zapasnye-chasti/2000535298-U411/","Открыть позицию")</x:f>
        <x:v>Открыть позицию</x:v>
      </x:c>
    </x:row>
    <x:row r="248" ht="28" customHeight="1">
      <x:c r="A248" s="16" t="str">
        <x:v>Ново-Кемеровская ТЭЦ</x:v>
      </x:c>
      <x:c r="B248" s="16" t="str">
        <x:v>2000535299-U411</x:v>
      </x:c>
      <x:c r="C248" s="16" t="str">
        <x:v>ВЫКЛЮЧАТЕЛЬ АЕ 2016-10Н 12IН 4А</x:v>
      </x:c>
      <x:c r="D248" s="16" t="str">
        <x:v>Низковольтная аппаратура и запасные части</x:v>
      </x:c>
      <x:c r="E248" s="16" t="str">
        <x:v>ШТ</x:v>
      </x:c>
      <x:c r="F248" s="21" t="n">
        <x:v>15</x:v>
      </x:c>
      <x:c r="G248" s="17" t="n">
        <x:v>368.29359999999997</x:v>
      </x:c>
      <x:c r="H248" s="17" t="n">
        <x:f>G248*F248</x:f>
        <x:v>5524.4039999999995</x:v>
      </x:c>
      <x:c r="I248" s="22" t="str">
        <x:f>HYPERLINK("https://etp-aktiv.ru/catalog/materialy/nizkovoltnaya-apparatura-i-zapasnye-chasti/2000535299-U411/","Открыть позицию")</x:f>
        <x:v>Открыть позицию</x:v>
      </x:c>
    </x:row>
    <x:row r="249" ht="28" customHeight="1">
      <x:c r="A249" s="16" t="str">
        <x:v>Ново-Кемеровская ТЭЦ</x:v>
      </x:c>
      <x:c r="B249" s="16" t="str">
        <x:v>2000535300-U411</x:v>
      </x:c>
      <x:c r="C249" s="16" t="str">
        <x:v>ВЫКЛЮЧАТЕЛЬ АЕ 2016-10Н 12IН 6А</x:v>
      </x:c>
      <x:c r="D249" s="16" t="str">
        <x:v>Низковольтная аппаратура и запасные части</x:v>
      </x:c>
      <x:c r="E249" s="16" t="str">
        <x:v>ШТ</x:v>
      </x:c>
      <x:c r="F249" s="21" t="n">
        <x:v>15</x:v>
      </x:c>
      <x:c r="G249" s="17" t="n">
        <x:v>368.29359999999997</x:v>
      </x:c>
      <x:c r="H249" s="17" t="n">
        <x:f>G249*F249</x:f>
        <x:v>5524.4039999999995</x:v>
      </x:c>
      <x:c r="I249" s="22" t="str">
        <x:f>HYPERLINK("https://etp-aktiv.ru/catalog/materialy/nizkovoltnaya-apparatura-i-zapasnye-chasti/2000535300-U411/","Открыть позицию")</x:f>
        <x:v>Открыть позицию</x:v>
      </x:c>
    </x:row>
    <x:row r="250" ht="28" customHeight="1">
      <x:c r="A250" s="16" t="str">
        <x:v>Ново-Кемеровская ТЭЦ</x:v>
      </x:c>
      <x:c r="B250" s="16" t="str">
        <x:v>2000567735-U411</x:v>
      </x:c>
      <x:c r="C250" s="16" t="str">
        <x:v>ВЫКЛЮЧАТЕЛЬ АП50Б-3МТ-16А-3,5IН-400AC-У3</x:v>
      </x:c>
      <x:c r="D250" s="16" t="str">
        <x:v>Низковольтная аппаратура и запасные части</x:v>
      </x:c>
      <x:c r="E250" s="16" t="str">
        <x:v>ШТ</x:v>
      </x:c>
      <x:c r="F250" s="21" t="n">
        <x:v>1</x:v>
      </x:c>
      <x:c r="G250" s="17" t="n">
        <x:v>516.975</x:v>
      </x:c>
      <x:c r="H250" s="17" t="n">
        <x:f>G250*F250</x:f>
        <x:v>516.975</x:v>
      </x:c>
      <x:c r="I250" s="22" t="str">
        <x:f>HYPERLINK("https://etp-aktiv.ru/catalog/materialy/nizkovoltnaya-apparatura-i-zapasnye-chasti/2000567735-U411/","Открыть позицию")</x:f>
        <x:v>Открыть позицию</x:v>
      </x:c>
    </x:row>
    <x:row r="251" ht="28" customHeight="1">
      <x:c r="A251" s="16" t="str">
        <x:v>Ново-Кемеровская ТЭЦ</x:v>
      </x:c>
      <x:c r="B251" s="16" t="str">
        <x:v>2000535411-U411</x:v>
      </x:c>
      <x:c r="C251" s="16" t="str">
        <x:v>ВЫКЛЮЧАТЕЛЬ ВА47-29 13А 1P C</x:v>
      </x:c>
      <x:c r="D251" s="16" t="str">
        <x:v>Низковольтная аппаратура и запасные части</x:v>
      </x:c>
      <x:c r="E251" s="16" t="str">
        <x:v>ШТ</x:v>
      </x:c>
      <x:c r="F251" s="21" t="n">
        <x:v>0</x:v>
      </x:c>
      <x:c r="G251" s="17" t="n">
        <x:v>31.5492</x:v>
      </x:c>
      <x:c r="H251" s="17" t="n">
        <x:f>G251*F251</x:f>
        <x:v>0</x:v>
      </x:c>
      <x:c r="I251" s="22" t="str">
        <x:f>HYPERLINK("https://etp-aktiv.ru/catalog/materialy/nizkovoltnaya-apparatura-i-zapasnye-chasti/2000535411-U411/","Открыть позицию")</x:f>
        <x:v>Открыть позицию</x:v>
      </x:c>
    </x:row>
    <x:row r="252" ht="28" customHeight="1">
      <x:c r="A252" s="16" t="str">
        <x:v>Ново-Кемеровская ТЭЦ</x:v>
      </x:c>
      <x:c r="B252" s="16" t="str">
        <x:v>2000548512-U411</x:v>
      </x:c>
      <x:c r="C252" s="16" t="str">
        <x:v>ИЗОЛЕНТА ТАФТЯНАЯ ЛЭ 15-16 ГОСТ4514-78</x:v>
      </x:c>
      <x:c r="D252" s="16" t="str">
        <x:v>Электроизоляционные материалы</x:v>
      </x:c>
      <x:c r="E252" s="16" t="str">
        <x:v>М</x:v>
      </x:c>
      <x:c r="F252" s="21" t="n">
        <x:v>506</x:v>
      </x:c>
      <x:c r="G252" s="17" t="n">
        <x:v>0.8174</x:v>
      </x:c>
      <x:c r="H252" s="17" t="n">
        <x:f>G252*F252</x:f>
        <x:v>413.6044</x:v>
      </x:c>
      <x:c r="I252" s="22" t="str">
        <x:f>HYPERLINK("https://etp-aktiv.ru/catalog/materialy/ehlektroizolyacionnye-materialy/2000548512-U411/","Открыть позицию")</x:f>
        <x:v>Открыть позицию</x:v>
      </x:c>
    </x:row>
    <x:row r="253" ht="28" customHeight="1">
      <x:c r="A253" s="16" t="str">
        <x:v>Ново-Кемеровская ТЭЦ</x:v>
      </x:c>
      <x:c r="B253" s="16" t="str">
        <x:v>2000740703-U411</x:v>
      </x:c>
      <x:c r="C253" s="16" t="str">
        <x:v>КОЛОДКА SQ1806-0037 250В 16А IP20</x:v>
      </x:c>
      <x:c r="D253" s="16" t="str">
        <x:v>Осветительная продукция и изделия электроустановочные</x:v>
      </x:c>
      <x:c r="E253" s="16" t="str">
        <x:v>ШТ</x:v>
      </x:c>
      <x:c r="F253" s="21" t="n">
        <x:v>5</x:v>
      </x:c>
      <x:c r="G253" s="17" t="n">
        <x:v>98.21</x:v>
      </x:c>
      <x:c r="H253" s="17" t="n">
        <x:f>G253*F253</x:f>
        <x:v>491.04999999999995</x:v>
      </x:c>
      <x:c r="I253" s="22" t="str">
        <x:f>HYPERLINK("https://etp-aktiv.ru/catalog/materialy/ehlektrotekhnicheskie-materialy/2000740703-U411/","Открыть позицию")</x:f>
        <x:v>Открыть позицию</x:v>
      </x:c>
    </x:row>
    <x:row r="254" ht="28" customHeight="1">
      <x:c r="A254" s="16" t="str">
        <x:v>Ново-Кемеровская ТЭЦ</x:v>
      </x:c>
      <x:c r="B254" s="16" t="str">
        <x:v>2000524425-U411</x:v>
      </x:c>
      <x:c r="C254" s="16" t="str">
        <x:v>КОЛОДКА НАПРАВЛЯЮЩАЯ 8БП.143.588</x:v>
      </x:c>
      <x:c r="D254" s="16" t="str">
        <x:v>Запасные части к выключателям</x:v>
      </x:c>
      <x:c r="E254" s="16" t="str">
        <x:v>ШТ</x:v>
      </x:c>
      <x:c r="F254" s="21" t="n">
        <x:v>20</x:v>
      </x:c>
      <x:c r="G254" s="17" t="n">
        <x:v>203.59359999999998</x:v>
      </x:c>
      <x:c r="H254" s="17" t="n">
        <x:f>G254*F254</x:f>
        <x:v>4071.8719999999994</x:v>
      </x:c>
      <x:c r="I254" s="22" t="str">
        <x:f>HYPERLINK("https://etp-aktiv.ru/catalog/materialy/ehlektrotekhnicheskie-materialy/2000524425-U411/","Открыть позицию")</x:f>
        <x:v>Открыть позицию</x:v>
      </x:c>
    </x:row>
    <x:row r="255" ht="28" customHeight="1">
      <x:c r="A255" s="16" t="str">
        <x:v>Ново-Кемеровская ТЭЦ</x:v>
      </x:c>
      <x:c r="B255" s="16" t="str">
        <x:v>2000072314-U411</x:v>
      </x:c>
      <x:c r="C255" s="16" t="str">
        <x:v>КОРОБКА ОТВЕТВИТ У 409-3У1 IP65 380В</x:v>
      </x:c>
      <x:c r="D255" s="16" t="str">
        <x:v>Освет и э/установоч</x:v>
      </x:c>
      <x:c r="E255" s="16" t="str">
        <x:v>ШТ</x:v>
      </x:c>
      <x:c r="F255" s="21" t="n">
        <x:v>40</x:v>
      </x:c>
      <x:c r="G255" s="17" t="n">
        <x:v>26.9986</x:v>
      </x:c>
      <x:c r="H255" s="17" t="n">
        <x:f>G255*F255</x:f>
        <x:v>1079.944</x:v>
      </x:c>
      <x:c r="I255" s="22" t="str">
        <x:f>HYPERLINK("https://etp-aktiv.ru/catalog/materialy/ehlektrotekhnicheskie-materialy/2000072314-U411/","Открыть позицию")</x:f>
        <x:v>Открыть позицию</x:v>
      </x:c>
    </x:row>
    <x:row r="256" ht="28" customHeight="1">
      <x:c r="A256" s="16" t="str">
        <x:v>Ново-Кемеровская ТЭЦ</x:v>
      </x:c>
      <x:c r="B256" s="16" t="str">
        <x:v>2000153760-U411</x:v>
      </x:c>
      <x:c r="C256" s="16" t="str">
        <x:v>ЛАКОТКАНЬ ЛКМ-105 0,12ММ</x:v>
      </x:c>
      <x:c r="D256" s="16" t="str">
        <x:v>Электроизоляционные материалы</x:v>
      </x:c>
      <x:c r="E256" s="16" t="str">
        <x:v>М2</x:v>
      </x:c>
      <x:c r="F256" s="21" t="n">
        <x:v>8</x:v>
      </x:c>
      <x:c r="G256" s="17" t="n">
        <x:v>64.1476</x:v>
      </x:c>
      <x:c r="H256" s="17" t="n">
        <x:f>G256*F256</x:f>
        <x:v>513.1808</x:v>
      </x:c>
      <x:c r="I256" s="22" t="str">
        <x:f>HYPERLINK("https://etp-aktiv.ru/catalog/materialy/ehlektroizolyacionnye-materialy/2000153760-U411/","Открыть позицию")</x:f>
        <x:v>Открыть позицию</x:v>
      </x:c>
    </x:row>
    <x:row r="257" ht="28" customHeight="1">
      <x:c r="A257" s="16" t="str">
        <x:v>Ново-Кемеровская ТЭЦ</x:v>
      </x:c>
      <x:c r="B257" s="16" t="str">
        <x:v>2000544832-U411</x:v>
      </x:c>
      <x:c r="C257" s="16" t="str">
        <x:v>ЛАМПА 24V-R10W-10W-BA15S</x:v>
      </x:c>
      <x:c r="D257" s="16" t="str">
        <x:v>Осветительная продукция и изделия электроустановочные</x:v>
      </x:c>
      <x:c r="E257" s="16" t="str">
        <x:v>ШТ</x:v>
      </x:c>
      <x:c r="F257" s="21" t="n">
        <x:v>15</x:v>
      </x:c>
      <x:c r="G257" s="17" t="n">
        <x:v>68.625</x:v>
      </x:c>
      <x:c r="H257" s="17" t="n">
        <x:f>G257*F257</x:f>
        <x:v>1029.375</x:v>
      </x:c>
      <x:c r="I257" s="22" t="str">
        <x:f>HYPERLINK("https://etp-aktiv.ru/catalog/materialy/ehlektrotekhnicheskie-materialy/2000544832-U411/","Открыть позицию")</x:f>
        <x:v>Открыть позицию</x:v>
      </x:c>
    </x:row>
    <x:row r="258" ht="28" customHeight="1">
      <x:c r="A258" s="16" t="str">
        <x:v>Ново-Кемеровская ТЭЦ</x:v>
      </x:c>
      <x:c r="B258" s="16" t="str">
        <x:v>2000545186-U411</x:v>
      </x:c>
      <x:c r="C258" s="16" t="str">
        <x:v>ЛАМПА ДРВ-160 160ВТ E27</x:v>
      </x:c>
      <x:c r="D258" s="16" t="str">
        <x:v>Осветительная продукция и изделия электроустановочные</x:v>
      </x:c>
      <x:c r="E258" s="16" t="str">
        <x:v>ШТ</x:v>
      </x:c>
      <x:c r="F258" s="21" t="n">
        <x:v>10</x:v>
      </x:c>
      <x:c r="G258" s="17" t="n">
        <x:v>48.5804</x:v>
      </x:c>
      <x:c r="H258" s="17" t="n">
        <x:f>G258*F258</x:f>
        <x:v>485.804</x:v>
      </x:c>
      <x:c r="I258" s="22" t="str">
        <x:f>HYPERLINK("https://etp-aktiv.ru/catalog/materialy/ehlektrotekhnicheskie-materialy/2000545186-U411/","Открыть позицию")</x:f>
        <x:v>Открыть позицию</x:v>
      </x:c>
    </x:row>
    <x:row r="259" ht="28" customHeight="1">
      <x:c r="A259" s="16" t="str">
        <x:v>Ново-Кемеровская ТЭЦ</x:v>
      </x:c>
      <x:c r="B259" s="16" t="str">
        <x:v>2000545237-U411</x:v>
      </x:c>
      <x:c r="C259" s="16" t="str">
        <x:v>ЛАМПА ДРЛ-250 250ВТ E27</x:v>
      </x:c>
      <x:c r="D259" s="16" t="str">
        <x:v>Осветительная продукция и изделия электроустановочные</x:v>
      </x:c>
      <x:c r="E259" s="16" t="str">
        <x:v>ШТ</x:v>
      </x:c>
      <x:c r="F259" s="21" t="n">
        <x:v>10</x:v>
      </x:c>
      <x:c r="G259" s="17" t="n">
        <x:v>72.4436</x:v>
      </x:c>
      <x:c r="H259" s="17" t="n">
        <x:f>G259*F259</x:f>
        <x:v>724.436</x:v>
      </x:c>
      <x:c r="I259" s="22" t="str">
        <x:f>HYPERLINK("https://etp-aktiv.ru/catalog/materialy/ehlektrotekhnicheskie-materialy/2000545237-U411/","Открыть позицию")</x:f>
        <x:v>Открыть позицию</x:v>
      </x:c>
    </x:row>
    <x:row r="260" ht="28" customHeight="1">
      <x:c r="A260" s="16" t="str">
        <x:v>Ново-Кемеровская ТЭЦ</x:v>
      </x:c>
      <x:c r="B260" s="16" t="str">
        <x:v>2000386101-U411</x:v>
      </x:c>
      <x:c r="C260" s="16" t="str">
        <x:v>ЛАМПА ЛЮМИН FL36W/765 36ВТ G13</x:v>
      </x:c>
      <x:c r="D260" s="16" t="str">
        <x:v>Осветительная продукция и изделия электроустановочные</x:v>
      </x:c>
      <x:c r="E260" s="16" t="str">
        <x:v>ШТ</x:v>
      </x:c>
      <x:c r="F260" s="21" t="n">
        <x:v>280</x:v>
      </x:c>
      <x:c r="G260" s="17" t="n">
        <x:v>19.0686</x:v>
      </x:c>
      <x:c r="H260" s="17" t="n">
        <x:f>G260*F260</x:f>
        <x:v>5339.208</x:v>
      </x:c>
      <x:c r="I260" s="22" t="str">
        <x:f>HYPERLINK("https://etp-aktiv.ru/catalog/materialy/ehlektrotekhnicheskie-materialy/2000386101-U411/","Открыть позицию")</x:f>
        <x:v>Открыть позицию</x:v>
      </x:c>
    </x:row>
    <x:row r="261" ht="28" customHeight="1">
      <x:c r="A261" s="16" t="str">
        <x:v>Ново-Кемеровская ТЭЦ</x:v>
      </x:c>
      <x:c r="B261" s="16" t="str">
        <x:v>2000175573-U411</x:v>
      </x:c>
      <x:c r="C261" s="16" t="str">
        <x:v>ЛЕНТА ЛЭСБ 0,2*30</x:v>
      </x:c>
      <x:c r="D261" s="16" t="str">
        <x:v>Электроизоляционные материалы</x:v>
      </x:c>
      <x:c r="E261" s="16" t="str">
        <x:v>ПМ</x:v>
      </x:c>
      <x:c r="F261" s="21" t="n">
        <x:v>5</x:v>
      </x:c>
      <x:c r="G261" s="17" t="n">
        <x:v>1.6226</x:v>
      </x:c>
      <x:c r="H261" s="17" t="n">
        <x:f>G261*F261</x:f>
        <x:v>8.113</x:v>
      </x:c>
      <x:c r="I261" s="22" t="str">
        <x:f>HYPERLINK("https://etp-aktiv.ru/catalog/materialy/ehlektroizolyacionnye-materialy/2000175573-U411/","Открыть позицию")</x:f>
        <x:v>Открыть позицию</x:v>
      </x:c>
    </x:row>
    <x:row r="262" ht="28" customHeight="1">
      <x:c r="A262" s="16" t="str">
        <x:v>Ново-Кемеровская ТЭЦ</x:v>
      </x:c>
      <x:c r="B262" s="16" t="str">
        <x:v>2000563532-U411</x:v>
      </x:c>
      <x:c r="C262" s="16" t="str">
        <x:v>ЛИСТ ФТОРОПЛАСТ Ф-4 4ММ</x:v>
      </x:c>
      <x:c r="D262" s="16" t="str">
        <x:v>Электроизоляционные материалы</x:v>
      </x:c>
      <x:c r="E262" s="16" t="str">
        <x:v>КГ</x:v>
      </x:c>
      <x:c r="F262" s="29" t="n">
        <x:v>6.36</x:v>
      </x:c>
      <x:c r="G262" s="17" t="n">
        <x:v>331.5594</x:v>
      </x:c>
      <x:c r="H262" s="17" t="n">
        <x:f>G262*F262</x:f>
        <x:v>2108.717784</x:v>
      </x:c>
      <x:c r="I262" s="22" t="str">
        <x:f>HYPERLINK("https://etp-aktiv.ru/catalog/materialy/ehlektroizolyacionnye-materialy/2000563532-U411/","Открыть позицию")</x:f>
        <x:v>Открыть позицию</x:v>
      </x:c>
    </x:row>
    <x:row r="263" ht="28" customHeight="1">
      <x:c r="A263" s="16" t="str">
        <x:v>Ново-Кемеровская ТЭЦ</x:v>
      </x:c>
      <x:c r="B263" s="16" t="str">
        <x:v>2000540623-U411</x:v>
      </x:c>
      <x:c r="C263" s="16" t="str">
        <x:v>МАНОМЕТР МП4-У 0-250КГ/СМ2 IP53 КЛ1,5</x:v>
      </x:c>
      <x:c r="D263" s="16" t="str">
        <x:v>Запасные части и принадлежности для приборов КИПиА</x:v>
      </x:c>
      <x:c r="E263" s="16" t="str">
        <x:v>ШТ</x:v>
      </x:c>
      <x:c r="F263" s="21" t="n">
        <x:v>14</x:v>
      </x:c>
      <x:c r="G263" s="17" t="n">
        <x:v>1525</x:v>
      </x:c>
      <x:c r="H263" s="17" t="n">
        <x:f>G263*F263</x:f>
        <x:v>21350</x:v>
      </x:c>
      <x:c r="I263" s="22" t="str">
        <x:f>HYPERLINK("https://etp-aktiv.ru/catalog/materialy/zapasnye-chasti-i-prinadlezhnosti-dlya-priborov-kipia/2000540623-U411/","Открыть позицию")</x:f>
        <x:v>Открыть позицию</x:v>
      </x:c>
    </x:row>
    <x:row r="264" ht="28" customHeight="1">
      <x:c r="A264" s="16" t="str">
        <x:v>Ново-Кемеровская ТЭЦ</x:v>
      </x:c>
      <x:c r="B264" s="16" t="str">
        <x:v>2000304094-U411</x:v>
      </x:c>
      <x:c r="C264" s="16" t="str">
        <x:v>МЕТКА CONFIDEX IRONSIDE</x:v>
      </x:c>
      <x:c r="D264" s="16" t="str">
        <x:v>Изделия радиоэлектронной техники</x:v>
      </x:c>
      <x:c r="E264" s="16" t="str">
        <x:v>ШТ</x:v>
      </x:c>
      <x:c r="F264" s="21" t="n">
        <x:v>515</x:v>
      </x:c>
      <x:c r="G264" s="17" t="n">
        <x:v>87.69359999999999</x:v>
      </x:c>
      <x:c r="H264" s="17" t="n">
        <x:f>G264*F264</x:f>
        <x:v>45162.204</x:v>
      </x:c>
      <x:c r="I264" s="22" t="str">
        <x:f>HYPERLINK("https://etp-aktiv.ru/catalog/materialy/prochie-materialy/2000304094-U411/","Открыть позицию")</x:f>
        <x:v>Открыть позицию</x:v>
      </x:c>
    </x:row>
    <x:row r="265" ht="28" customHeight="1">
      <x:c r="A265" s="16" t="str">
        <x:v>Ново-Кемеровская ТЭЦ</x:v>
      </x:c>
      <x:c r="B265" s="16" t="str">
        <x:v>2000442316-U411</x:v>
      </x:c>
      <x:c r="C265" s="16" t="str">
        <x:v>ОПОВЕЩАТЕЛЬ СВЕТ МОЛНИЯ 24 ГАЗ НЕ ВХОДИ</x:v>
      </x:c>
      <x:c r="D265" s="16" t="str">
        <x:v>Прочие электротехнические материалы</x:v>
      </x:c>
      <x:c r="E265" s="16" t="str">
        <x:v>ШТ</x:v>
      </x:c>
      <x:c r="F265" s="21" t="n">
        <x:v>3</x:v>
      </x:c>
      <x:c r="G265" s="17" t="n">
        <x:v>189.90519999999998</x:v>
      </x:c>
      <x:c r="H265" s="17" t="n">
        <x:f>G265*F265</x:f>
        <x:v>569.7156</x:v>
      </x:c>
      <x:c r="I265" s="22" t="str">
        <x:f>HYPERLINK("https://etp-aktiv.ru/catalog/materialy/ehlektrotekhnicheskie-materialy/2000442316-U411/","Открыть позицию")</x:f>
        <x:v>Открыть позицию</x:v>
      </x:c>
    </x:row>
    <x:row r="266" ht="28" customHeight="1">
      <x:c r="A266" s="16" t="str">
        <x:v>Ново-Кемеровская ТЭЦ</x:v>
      </x:c>
      <x:c r="B266" s="16" t="str">
        <x:v>2000442315-U411</x:v>
      </x:c>
      <x:c r="C266" s="16" t="str">
        <x:v>ОПОВЕЩАТЕЛЬ СВЕТОВОЙ МОЛНИЯ 24 ГАЗ УХОДИ</x:v>
      </x:c>
      <x:c r="D266" s="16" t="str">
        <x:v>Прочие электротехнические материалы</x:v>
      </x:c>
      <x:c r="E266" s="16" t="str">
        <x:v>ШТ</x:v>
      </x:c>
      <x:c r="F266" s="21" t="n">
        <x:v>5</x:v>
      </x:c>
      <x:c r="G266" s="17" t="n">
        <x:v>176.351</x:v>
      </x:c>
      <x:c r="H266" s="17" t="n">
        <x:f>G266*F266</x:f>
        <x:v>881.755</x:v>
      </x:c>
      <x:c r="I266" s="22" t="str">
        <x:f>HYPERLINK("https://etp-aktiv.ru/catalog/materialy/ehlektrotekhnicheskie-materialy/2000442315-U411/","Открыть позицию")</x:f>
        <x:v>Открыть позицию</x:v>
      </x:c>
    </x:row>
    <x:row r="267" ht="28" customHeight="1">
      <x:c r="A267" s="16" t="str">
        <x:v>Ново-Кемеровская ТЭЦ</x:v>
      </x:c>
      <x:c r="B267" s="16" t="str">
        <x:v>2000500354-U411</x:v>
      </x:c>
      <x:c r="C267" s="16" t="str">
        <x:v>ПАТРОН КАРБОЛИТОВЫЙ Е27 250В 16А 835/10</x:v>
      </x:c>
      <x:c r="D267" s="16" t="str">
        <x:v>Осветительная продукция и изделия электроустановочные</x:v>
      </x:c>
      <x:c r="E267" s="16" t="str">
        <x:v>ШТ</x:v>
      </x:c>
      <x:c r="F267" s="21" t="n">
        <x:v>200</x:v>
      </x:c>
      <x:c r="G267" s="17" t="n">
        <x:v>7.649399999999999</x:v>
      </x:c>
      <x:c r="H267" s="17" t="n">
        <x:f>G267*F267</x:f>
        <x:v>1529.8799999999999</x:v>
      </x:c>
      <x:c r="I267" s="22" t="str">
        <x:f>HYPERLINK("https://etp-aktiv.ru/catalog/materialy/ehlektrotekhnicheskie-materialy/2000500354-U411/","Открыть позицию")</x:f>
        <x:v>Открыть позицию</x:v>
      </x:c>
    </x:row>
    <x:row r="268" ht="28" customHeight="1">
      <x:c r="A268" s="16" t="str">
        <x:v>Ново-Кемеровская ТЭЦ</x:v>
      </x:c>
      <x:c r="B268" s="16" t="str">
        <x:v>2000580144-U411</x:v>
      </x:c>
      <x:c r="C268" s="16" t="str">
        <x:v>ПАТРОН ЭЛЕКТРИЧЕСКИЙ КАРБОЛИТО Е27 250В</x:v>
      </x:c>
      <x:c r="D268" s="16" t="str">
        <x:v>Осветительная продукция и изделия электроустановочные</x:v>
      </x:c>
      <x:c r="E268" s="16" t="str">
        <x:v>ШТ</x:v>
      </x:c>
      <x:c r="F268" s="21" t="n">
        <x:v>10</x:v>
      </x:c>
      <x:c r="G268" s="17" t="n">
        <x:v>11.346</x:v>
      </x:c>
      <x:c r="H268" s="17" t="n">
        <x:f>G268*F268</x:f>
        <x:v>113.46000000000001</x:v>
      </x:c>
      <x:c r="I268" s="22" t="str">
        <x:f>HYPERLINK("https://etp-aktiv.ru/catalog/materialy/ehlektrotekhnicheskie-materialy/2000580144-U411/","Открыть позицию")</x:f>
        <x:v>Открыть позицию</x:v>
      </x:c>
    </x:row>
    <x:row r="269" ht="28" customHeight="1">
      <x:c r="A269" s="16" t="str">
        <x:v>Ново-Кемеровская ТЭЦ</x:v>
      </x:c>
      <x:c r="B269" s="16" t="str">
        <x:v>2000548567-U411</x:v>
      </x:c>
      <x:c r="C269" s="16" t="str">
        <x:v>ПЛАСТИКАТ ПВХ ПП-В 3ММ</x:v>
      </x:c>
      <x:c r="D269" s="16" t="str">
        <x:v>Электроизоляционные материалы</x:v>
      </x:c>
      <x:c r="E269" s="16" t="str">
        <x:v>КГ</x:v>
      </x:c>
      <x:c r="F269" s="30" t="n">
        <x:v>0.2</x:v>
      </x:c>
      <x:c r="G269" s="17" t="n">
        <x:v>319.5668</x:v>
      </x:c>
      <x:c r="H269" s="17" t="n">
        <x:f>G269*F269</x:f>
        <x:v>63.913360000000004</x:v>
      </x:c>
      <x:c r="I269" s="22" t="str">
        <x:f>HYPERLINK("https://etp-aktiv.ru/catalog/materialy/ehlektroizolyacionnye-materialy/2000548567-U411/","Открыть позицию")</x:f>
        <x:v>Открыть позицию</x:v>
      </x:c>
    </x:row>
    <x:row r="270" ht="28" customHeight="1">
      <x:c r="A270" s="16" t="str">
        <x:v>Ново-Кемеровская ТЭЦ</x:v>
      </x:c>
      <x:c r="B270" s="16" t="str">
        <x:v>2000388915-U411</x:v>
      </x:c>
      <x:c r="C270" s="16" t="str">
        <x:v>ПЛАСТИНА ФТОРОПЛАСТ Ф-4 20*130*330ММ</x:v>
      </x:c>
      <x:c r="D270" s="16" t="str">
        <x:v>Электроизоляционные материалы</x:v>
      </x:c>
      <x:c r="E270" s="16" t="str">
        <x:v>КГ</x:v>
      </x:c>
      <x:c r="F270" s="29" t="n">
        <x:v>32.05</x:v>
      </x:c>
      <x:c r="G270" s="17" t="n">
        <x:v>488</x:v>
      </x:c>
      <x:c r="H270" s="17" t="n">
        <x:f>G270*F270</x:f>
        <x:v>15640.399999999998</x:v>
      </x:c>
      <x:c r="I270" s="22" t="str">
        <x:f>HYPERLINK("https://etp-aktiv.ru/catalog/materialy/ehlektroizolyacionnye-materialy/2000388915-U411/","Открыть позицию")</x:f>
        <x:v>Открыть позицию</x:v>
      </x:c>
    </x:row>
    <x:row r="271" ht="28" customHeight="1">
      <x:c r="A271" s="16" t="str">
        <x:v>Ново-Кемеровская ТЭЦ</x:v>
      </x:c>
      <x:c r="B271" s="16" t="str">
        <x:v>2000035354-U411</x:v>
      </x:c>
      <x:c r="C271" s="16" t="str">
        <x:v>ПРЕДОХРАНИТЕЛЬ ПН-2 100А</x:v>
      </x:c>
      <x:c r="D271" s="16" t="str">
        <x:v>Низковольтная аппаратура и запасные части</x:v>
      </x:c>
      <x:c r="E271" s="16" t="str">
        <x:v>ШТ</x:v>
      </x:c>
      <x:c r="F271" s="21" t="n">
        <x:v>30</x:v>
      </x:c>
      <x:c r="G271" s="17" t="n">
        <x:v>49.41</x:v>
      </x:c>
      <x:c r="H271" s="17" t="n">
        <x:f>G271*F271</x:f>
        <x:v>1482.3</x:v>
      </x:c>
      <x:c r="I271" s="22" t="str">
        <x:f>HYPERLINK("https://etp-aktiv.ru/catalog/materialy/nizkovoltnaya-apparatura-i-zapasnye-chasti/2000035354-U411/","Открыть позицию")</x:f>
        <x:v>Открыть позицию</x:v>
      </x:c>
    </x:row>
    <x:row r="272" ht="28" customHeight="1">
      <x:c r="A272" s="16" t="str">
        <x:v>Ново-Кемеровская ТЭЦ</x:v>
      </x:c>
      <x:c r="B272" s="16" t="str">
        <x:v>2000524503-U411</x:v>
      </x:c>
      <x:c r="C272" s="16" t="str">
        <x:v>ПРОКЛАДКА 8КА.371.056</x:v>
      </x:c>
      <x:c r="D272" s="16" t="str">
        <x:v>Запасные части к выключателям</x:v>
      </x:c>
      <x:c r="E272" s="16" t="str">
        <x:v>ШТ</x:v>
      </x:c>
      <x:c r="F272" s="21" t="n">
        <x:v>12</x:v>
      </x:c>
      <x:c r="G272" s="17" t="n">
        <x:v>35.453199999999995</x:v>
      </x:c>
      <x:c r="H272" s="17" t="n">
        <x:f>G272*F272</x:f>
        <x:v>425.43839999999994</x:v>
      </x:c>
      <x:c r="I272" s="22" t="str">
        <x:f>HYPERLINK("https://etp-aktiv.ru/catalog/materialy/ehlektrotekhnicheskie-materialy/2000524503-U411/","Открыть позицию")</x:f>
        <x:v>Открыть позицию</x:v>
      </x:c>
    </x:row>
    <x:row r="273" ht="28" customHeight="1">
      <x:c r="A273" s="16" t="str">
        <x:v>Ново-Кемеровская ТЭЦ</x:v>
      </x:c>
      <x:c r="B273" s="16" t="str">
        <x:v>2000563558-U411</x:v>
      </x:c>
      <x:c r="C273" s="16" t="str">
        <x:v>РАЗДЕЛИТЕЛЬ КЛЕМ ГРУПП APP 2,5-10 462121</x:v>
      </x:c>
      <x:c r="D273" s="16" t="str">
        <x:v>Низковольтная аппаратура и запасные части</x:v>
      </x:c>
      <x:c r="E273" s="16" t="str">
        <x:v>УПК</x:v>
      </x:c>
      <x:c r="F273" s="21" t="n">
        <x:v>3</x:v>
      </x:c>
      <x:c r="G273" s="17" t="n">
        <x:v>297.375</x:v>
      </x:c>
      <x:c r="H273" s="17" t="n">
        <x:f>G273*F273</x:f>
        <x:v>892.125</x:v>
      </x:c>
      <x:c r="I273" s="22" t="str">
        <x:f>HYPERLINK("https://etp-aktiv.ru/catalog/materialy/nizkovoltnaya-apparatura-i-zapasnye-chasti/2000563558-U411/","Открыть позицию")</x:f>
        <x:v>Открыть позицию</x:v>
      </x:c>
    </x:row>
    <x:row r="274" ht="28" customHeight="1">
      <x:c r="A274" s="16" t="str">
        <x:v>Ново-Кемеровская ТЭЦ</x:v>
      </x:c>
      <x:c r="B274" s="16" t="str">
        <x:v>2000479292-U411</x:v>
      </x:c>
      <x:c r="C274" s="16" t="str">
        <x:v>РЕЛЕ ДЗТ-11 5А 220В</x:v>
      </x:c>
      <x:c r="D274" s="16" t="str">
        <x:v>Низковольтная аппаратура и запасные части</x:v>
      </x:c>
      <x:c r="E274" s="16" t="str">
        <x:v>ШТ</x:v>
      </x:c>
      <x:c r="F274" s="21" t="n">
        <x:v>6</x:v>
      </x:c>
      <x:c r="G274" s="17" t="n">
        <x:v>3397.517</x:v>
      </x:c>
      <x:c r="H274" s="17" t="n">
        <x:f>G274*F274</x:f>
        <x:v>20385.102</x:v>
      </x:c>
      <x:c r="I274" s="22" t="str">
        <x:f>HYPERLINK("https://etp-aktiv.ru/catalog/materialy/nizkovoltnaya-apparatura-i-zapasnye-chasti/2000479292-U411/","Открыть позицию")</x:f>
        <x:v>Открыть позицию</x:v>
      </x:c>
    </x:row>
    <x:row r="275" ht="28" customHeight="1">
      <x:c r="A275" s="16" t="str">
        <x:v>Ново-Кемеровская ТЭЦ</x:v>
      </x:c>
      <x:c r="B275" s="16" t="str">
        <x:v>2000175326-U411</x:v>
      </x:c>
      <x:c r="C275" s="16" t="str">
        <x:v>РОЗЕТКА 123 СТАЦ 2Р+РЕ 220В 32А IP44</x:v>
      </x:c>
      <x:c r="D275" s="16" t="str">
        <x:v>Осветительная продукция и изделия электроустановочные</x:v>
      </x:c>
      <x:c r="E275" s="16" t="str">
        <x:v>ШТ</x:v>
      </x:c>
      <x:c r="F275" s="21" t="n">
        <x:v>3</x:v>
      </x:c>
      <x:c r="G275" s="17" t="n">
        <x:v>262.0438</x:v>
      </x:c>
      <x:c r="H275" s="17" t="n">
        <x:f>G275*F275</x:f>
        <x:v>786.1314</x:v>
      </x:c>
      <x:c r="I275" s="22" t="str">
        <x:f>HYPERLINK("https://etp-aktiv.ru/catalog/materialy/ehlektrotekhnicheskie-materialy/2000175326-U411/","Открыть позицию")</x:f>
        <x:v>Открыть позицию</x:v>
      </x:c>
    </x:row>
    <x:row r="276" ht="28" customHeight="1">
      <x:c r="A276" s="16" t="str">
        <x:v>Ново-Кемеровская ТЭЦ</x:v>
      </x:c>
      <x:c r="B276" s="16" t="str">
        <x:v>2000545306-U411</x:v>
      </x:c>
      <x:c r="C276" s="16" t="str">
        <x:v>РОЗЕТКА РА 10-304 230В 10А IP20</x:v>
      </x:c>
      <x:c r="D276" s="16" t="str">
        <x:v>Осветительная продукция и изделия электроустановочные</x:v>
      </x:c>
      <x:c r="E276" s="16" t="str">
        <x:v>ШТ</x:v>
      </x:c>
      <x:c r="F276" s="21" t="n">
        <x:v>24</x:v>
      </x:c>
      <x:c r="G276" s="17" t="n">
        <x:v>9.7722</x:v>
      </x:c>
      <x:c r="H276" s="17" t="n">
        <x:f>G276*F276</x:f>
        <x:v>234.5328</x:v>
      </x:c>
      <x:c r="I276" s="22" t="str">
        <x:f>HYPERLINK("https://etp-aktiv.ru/catalog/materialy/ehlektrotekhnicheskie-materialy/2000545306-U411/","Открыть позицию")</x:f>
        <x:v>Открыть позицию</x:v>
      </x:c>
    </x:row>
    <x:row r="277" ht="28" customHeight="1">
      <x:c r="A277" s="16" t="str">
        <x:v>Ново-Кемеровская ТЭЦ</x:v>
      </x:c>
      <x:c r="B277" s="16" t="str">
        <x:v>2000553535-U411</x:v>
      </x:c>
      <x:c r="C277" s="16" t="str">
        <x:v>РОЗЕТКА ТЕЛЕФОННАЯ УНИВЕРС 03-0011-4</x:v>
      </x:c>
      <x:c r="D277" s="16" t="str">
        <x:v>З/ч обор связи/телеф</x:v>
      </x:c>
      <x:c r="E277" s="16" t="str">
        <x:v>ШТ</x:v>
      </x:c>
      <x:c r="F277" s="21" t="n">
        <x:v>30</x:v>
      </x:c>
      <x:c r="G277" s="17" t="n">
        <x:v>22.9604</x:v>
      </x:c>
      <x:c r="H277" s="17" t="n">
        <x:f>G277*F277</x:f>
        <x:v>688.812</x:v>
      </x:c>
      <x:c r="I277" s="22" t="str">
        <x:f>HYPERLINK("https://etp-aktiv.ru/catalog/materialy/prochie-materialy/2000553535-U411/","Открыть позицию")</x:f>
        <x:v>Открыть позицию</x:v>
      </x:c>
    </x:row>
    <x:row r="278" ht="28" customHeight="1">
      <x:c r="A278" s="16" t="str">
        <x:v>Ново-Кемеровская ТЭЦ</x:v>
      </x:c>
      <x:c r="B278" s="16" t="str">
        <x:v>2000524544-U411</x:v>
      </x:c>
      <x:c r="C278" s="16" t="str">
        <x:v>РОЛИК 8БП.221.053</x:v>
      </x:c>
      <x:c r="D278" s="16" t="str">
        <x:v>Запасные части к выключателям</x:v>
      </x:c>
      <x:c r="E278" s="16" t="str">
        <x:v>ШТ</x:v>
      </x:c>
      <x:c r="F278" s="21" t="n">
        <x:v>30</x:v>
      </x:c>
      <x:c r="G278" s="17" t="n">
        <x:v>82.35</x:v>
      </x:c>
      <x:c r="H278" s="17" t="n">
        <x:f>G278*F278</x:f>
        <x:v>2470.5</x:v>
      </x:c>
      <x:c r="I278" s="22" t="str">
        <x:f>HYPERLINK("https://etp-aktiv.ru/catalog/materialy/ehlektrotekhnicheskie-materialy/2000524544-U411/","Открыть позицию")</x:f>
        <x:v>Открыть позицию</x:v>
      </x:c>
    </x:row>
    <x:row r="279" ht="28" customHeight="1">
      <x:c r="A279" s="16" t="str">
        <x:v>Ново-Кемеровская ТЭЦ</x:v>
      </x:c>
      <x:c r="B279" s="16" t="str">
        <x:v>2000545551-U411</x:v>
      </x:c>
      <x:c r="C279" s="16" t="str">
        <x:v>СВЕТИЛЬНИК НПП 03М-100-003 E27 100ВТ</x:v>
      </x:c>
      <x:c r="D279" s="16" t="str">
        <x:v>Осветительная продукция и изделия электроустановочные</x:v>
      </x:c>
      <x:c r="E279" s="16" t="str">
        <x:v>ШТ</x:v>
      </x:c>
      <x:c r="F279" s="21" t="n">
        <x:v>20</x:v>
      </x:c>
      <x:c r="G279" s="17" t="n">
        <x:v>95.6358</x:v>
      </x:c>
      <x:c r="H279" s="17" t="n">
        <x:f>G279*F279</x:f>
        <x:v>1912.7160000000001</x:v>
      </x:c>
      <x:c r="I279" s="22" t="str">
        <x:f>HYPERLINK("https://etp-aktiv.ru/catalog/materialy/ehlektrotekhnicheskie-materialy/2000545551-U411/","Открыть позицию")</x:f>
        <x:v>Открыть позицию</x:v>
      </x:c>
    </x:row>
    <x:row r="280" ht="28" customHeight="1">
      <x:c r="A280" s="16" t="str">
        <x:v>Ново-Кемеровская ТЭЦ</x:v>
      </x:c>
      <x:c r="B280" s="16" t="str">
        <x:v>2000545598-U411</x:v>
      </x:c>
      <x:c r="C280" s="16" t="str">
        <x:v>СВЕТИЛЬНИК РСП-12-400-011 E40 400ВТ IP22</x:v>
      </x:c>
      <x:c r="D280" s="16" t="str">
        <x:v>Осветительная продукция и изделия электроустановочные</x:v>
      </x:c>
      <x:c r="E280" s="16" t="str">
        <x:v>ШТ</x:v>
      </x:c>
      <x:c r="F280" s="21" t="n">
        <x:v>10</x:v>
      </x:c>
      <x:c r="G280" s="17" t="n">
        <x:v>876.8872</x:v>
      </x:c>
      <x:c r="H280" s="17" t="n">
        <x:f>G280*F280</x:f>
        <x:v>8768.872</x:v>
      </x:c>
      <x:c r="I280" s="22" t="str">
        <x:f>HYPERLINK("https://etp-aktiv.ru/catalog/materialy/ehlektrotekhnicheskie-materialy/2000545598-U411/","Открыть позицию")</x:f>
        <x:v>Открыть позицию</x:v>
      </x:c>
    </x:row>
    <x:row r="281" ht="28" customHeight="1">
      <x:c r="A281" s="16" t="str">
        <x:v>Ново-Кемеровская ТЭЦ</x:v>
      </x:c>
      <x:c r="B281" s="16" t="str">
        <x:v>2000603884-U411</x:v>
      </x:c>
      <x:c r="C281" s="16" t="str">
        <x:v>СТ/ТЕКСТОЛИТ СТЭФ-ПВ 0,6ММ</x:v>
      </x:c>
      <x:c r="D281" s="16" t="str">
        <x:v>Электроизоляционные материалы</x:v>
      </x:c>
      <x:c r="E281" s="16" t="str">
        <x:v>КГ</x:v>
      </x:c>
      <x:c r="F281" s="21" t="n">
        <x:v>6</x:v>
      </x:c>
      <x:c r="G281" s="17" t="n">
        <x:v>16126.875</x:v>
      </x:c>
      <x:c r="H281" s="17" t="n">
        <x:f>G281*F281</x:f>
        <x:v>96761.25</x:v>
      </x:c>
      <x:c r="I281" s="22" t="str">
        <x:f>HYPERLINK("https://etp-aktiv.ru/catalog/materialy/ehlektroizolyacionnye-materialy/2000603884-U411/","Открыть позицию")</x:f>
        <x:v>Открыть позицию</x:v>
      </x:c>
    </x:row>
    <x:row r="282" ht="28" customHeight="1">
      <x:c r="A282" s="16" t="str">
        <x:v>Ново-Кемеровская ТЭЦ</x:v>
      </x:c>
      <x:c r="B282" s="16" t="str">
        <x:v>2000603885-U411</x:v>
      </x:c>
      <x:c r="C282" s="16" t="str">
        <x:v>СТ/ТЕКСТОЛИТ СТЭФ-ПВ 0,8ММ</x:v>
      </x:c>
      <x:c r="D282" s="16" t="str">
        <x:v>Электроизоляционные материалы</x:v>
      </x:c>
      <x:c r="E282" s="16" t="str">
        <x:v>КГ</x:v>
      </x:c>
      <x:c r="F282" s="21" t="n">
        <x:v>6</x:v>
      </x:c>
      <x:c r="G282" s="17" t="n">
        <x:v>19329.375</x:v>
      </x:c>
      <x:c r="H282" s="17" t="n">
        <x:f>G282*F282</x:f>
        <x:v>115976.25</x:v>
      </x:c>
      <x:c r="I282" s="22" t="str">
        <x:f>HYPERLINK("https://etp-aktiv.ru/catalog/materialy/ehlektroizolyacionnye-materialy/2000603885-U411/","Открыть позицию")</x:f>
        <x:v>Открыть позицию</x:v>
      </x:c>
    </x:row>
    <x:row r="283" ht="28" customHeight="1">
      <x:c r="A283" s="16" t="str">
        <x:v>Ново-Кемеровская ТЭЦ</x:v>
      </x:c>
      <x:c r="B283" s="16" t="str">
        <x:v>2000129117-U411</x:v>
      </x:c>
      <x:c r="C283" s="16" t="str">
        <x:v>СТАРТЕР OS ST111 4-80ВТ 220-240</x:v>
      </x:c>
      <x:c r="D283" s="16" t="str">
        <x:v>Осветительная продукция и изделия электроустановочные</x:v>
      </x:c>
      <x:c r="E283" s="16" t="str">
        <x:v>ШТ</x:v>
      </x:c>
      <x:c r="F283" s="21" t="n">
        <x:v>2000</x:v>
      </x:c>
      <x:c r="G283" s="17" t="n">
        <x:v>2.2082</x:v>
      </x:c>
      <x:c r="H283" s="17" t="n">
        <x:f>G283*F283</x:f>
        <x:v>4416.400000000001</x:v>
      </x:c>
      <x:c r="I283" s="22" t="str">
        <x:f>HYPERLINK("https://etp-aktiv.ru/catalog/materialy/ehlektrotekhnicheskie-materialy/2000129117-U411/","Открыть позицию")</x:f>
        <x:v>Открыть позицию</x:v>
      </x:c>
    </x:row>
    <x:row r="284" ht="28" customHeight="1">
      <x:c r="A284" s="16" t="str">
        <x:v>Ново-Кемеровская ТЭЦ</x:v>
      </x:c>
      <x:c r="B284" s="16" t="str">
        <x:v>2000548622-U411</x:v>
      </x:c>
      <x:c r="C284" s="16" t="str">
        <x:v>СТЕРЖЕНЬ ТЕКСТОЛИТ 1С 80*1000 ГОСТ5385</x:v>
      </x:c>
      <x:c r="D284" s="16" t="str">
        <x:v>Электроизоляционные материалы</x:v>
      </x:c>
      <x:c r="E284" s="16" t="str">
        <x:v>КГ</x:v>
      </x:c>
      <x:c r="F284" s="29" t="n">
        <x:v>1.84</x:v>
      </x:c>
      <x:c r="G284" s="17" t="n">
        <x:v>139.47039999999998</x:v>
      </x:c>
      <x:c r="H284" s="17" t="n">
        <x:f>G284*F284</x:f>
        <x:v>256.62553599999995</x:v>
      </x:c>
      <x:c r="I284" s="22" t="str">
        <x:f>HYPERLINK("https://etp-aktiv.ru/catalog/materialy/ehlektroizolyacionnye-materialy/2000548622-U411/","Открыть позицию")</x:f>
        <x:v>Открыть позицию</x:v>
      </x:c>
    </x:row>
    <x:row r="285" ht="28" customHeight="1">
      <x:c r="A285" s="16" t="str">
        <x:v>Ново-Кемеровская ТЭЦ</x:v>
      </x:c>
      <x:c r="B285" s="16" t="str">
        <x:v>2000548637-U411</x:v>
      </x:c>
      <x:c r="C285" s="16" t="str">
        <x:v>СТЕРЖЕНЬ ФТОРОПЛАСТ Ф-4 20*1000ММ</x:v>
      </x:c>
      <x:c r="D285" s="16" t="str">
        <x:v>Электроизоляционные материалы</x:v>
      </x:c>
      <x:c r="E285" s="16" t="str">
        <x:v>КГ</x:v>
      </x:c>
      <x:c r="F285" s="29" t="n">
        <x:v>3.36</x:v>
      </x:c>
      <x:c r="G285" s="17" t="n">
        <x:v>286.395</x:v>
      </x:c>
      <x:c r="H285" s="17" t="n">
        <x:f>G285*F285</x:f>
        <x:v>962.2871999999999</x:v>
      </x:c>
      <x:c r="I285" s="22" t="str">
        <x:f>HYPERLINK("https://etp-aktiv.ru/catalog/materialy/ehlektroizolyacionnye-materialy/2000548637-U411/","Открыть позицию")</x:f>
        <x:v>Открыть позицию</x:v>
      </x:c>
    </x:row>
    <x:row r="286" ht="28" customHeight="1">
      <x:c r="A286" s="16" t="str">
        <x:v>Ново-Кемеровская ТЭЦ</x:v>
      </x:c>
      <x:c r="B286" s="16" t="str">
        <x:v>2000249695-U411</x:v>
      </x:c>
      <x:c r="C286" s="16" t="str">
        <x:v>СТЕРЖЕНЬ ФТОРОПЛАСТ Ф-4 40ММ</x:v>
      </x:c>
      <x:c r="D286" s="16" t="str">
        <x:v>Электроизоляционные материалы</x:v>
      </x:c>
      <x:c r="E286" s="16" t="str">
        <x:v>КГ</x:v>
      </x:c>
      <x:c r="F286" s="29" t="n">
        <x:v>2.42</x:v>
      </x:c>
      <x:c r="G286" s="17" t="n">
        <x:v>449.997</x:v>
      </x:c>
      <x:c r="H286" s="17" t="n">
        <x:f>G286*F286</x:f>
        <x:v>1088.99274</x:v>
      </x:c>
      <x:c r="I286" s="22" t="str">
        <x:f>HYPERLINK("https://etp-aktiv.ru/catalog/materialy/ehlektroizolyacionnye-materialy/2000249695-U411/","Открыть позицию")</x:f>
        <x:v>Открыть позицию</x:v>
      </x:c>
    </x:row>
    <x:row r="287" ht="28" customHeight="1">
      <x:c r="A287" s="16" t="str">
        <x:v>Ново-Кемеровская ТЭЦ</x:v>
      </x:c>
      <x:c r="B287" s="16" t="str">
        <x:v>2000127561-U411</x:v>
      </x:c>
      <x:c r="C287" s="16" t="str">
        <x:v>СТЕРЖЕНЬ ФТОРОПЛАСТ Ф-4 60*400ММ (ШТ)</x:v>
      </x:c>
      <x:c r="D287" s="16" t="str">
        <x:v>Электроизоляционные материалы</x:v>
      </x:c>
      <x:c r="E287" s="16" t="str">
        <x:v>ШТ</x:v>
      </x:c>
      <x:c r="F287" s="21" t="n">
        <x:v>11</x:v>
      </x:c>
      <x:c r="G287" s="17" t="n">
        <x:v>1367.9006</x:v>
      </x:c>
      <x:c r="H287" s="17" t="n">
        <x:f>G287*F287</x:f>
        <x:v>15046.906599999998</x:v>
      </x:c>
      <x:c r="I287" s="22" t="str">
        <x:f>HYPERLINK("https://etp-aktiv.ru/catalog/materialy/ehlektroizolyacionnye-materialy/2000127561-U411/","Открыть позицию")</x:f>
        <x:v>Открыть позицию</x:v>
      </x:c>
    </x:row>
    <x:row r="288" ht="28" customHeight="1">
      <x:c r="A288" s="16" t="str">
        <x:v>Ново-Кемеровская ТЭЦ</x:v>
      </x:c>
      <x:c r="B288" s="16" t="str">
        <x:v>2000548636-U411</x:v>
      </x:c>
      <x:c r="C288" s="16" t="str">
        <x:v>СТЕРЖЕНЬ ФТОРОПЛАСТ Ф-4 90*1000ММ</x:v>
      </x:c>
      <x:c r="D288" s="16" t="str">
        <x:v>Электроизоляционные материалы</x:v>
      </x:c>
      <x:c r="E288" s="16" t="str">
        <x:v>КГ</x:v>
      </x:c>
      <x:c r="F288" s="29" t="n">
        <x:v>4.5</x:v>
      </x:c>
      <x:c r="G288" s="17" t="n">
        <x:v>857.9771999999999</x:v>
      </x:c>
      <x:c r="H288" s="17" t="n">
        <x:f>G288*F288</x:f>
        <x:v>3860.8974</x:v>
      </x:c>
      <x:c r="I288" s="22" t="str">
        <x:f>HYPERLINK("https://etp-aktiv.ru/catalog/materialy/ehlektroizolyacionnye-materialy/2000548636-U411/","Открыть позицию")</x:f>
        <x:v>Открыть позицию</x:v>
      </x:c>
    </x:row>
    <x:row r="289" ht="28" customHeight="1">
      <x:c r="A289" s="16" t="str">
        <x:v>Ново-Кемеровская ТЭЦ</x:v>
      </x:c>
      <x:c r="B289" s="16" t="str">
        <x:v>2000041556-U411</x:v>
      </x:c>
      <x:c r="C289" s="16" t="str">
        <x:v>СТЕРЖЕНЬ ФТОРОПЛАСТ Ф-4 D20ММ</x:v>
      </x:c>
      <x:c r="D289" s="16" t="str">
        <x:v>Электроизоляционные материалы</x:v>
      </x:c>
      <x:c r="E289" s="16" t="str">
        <x:v>КГ</x:v>
      </x:c>
      <x:c r="F289" s="30" t="n">
        <x:v>0.06</x:v>
      </x:c>
      <x:c r="G289" s="17" t="n">
        <x:v>286.395</x:v>
      </x:c>
      <x:c r="H289" s="17" t="n">
        <x:f>G289*F289</x:f>
        <x:v>17.183699999999998</x:v>
      </x:c>
      <x:c r="I289" s="22" t="str">
        <x:f>HYPERLINK("https://etp-aktiv.ru/catalog/materialy/ehlektroizolyacionnye-materialy/2000041556-U411/","Открыть позицию")</x:f>
        <x:v>Открыть позицию</x:v>
      </x:c>
    </x:row>
    <x:row r="290" ht="28" customHeight="1">
      <x:c r="A290" s="16" t="str">
        <x:v>Ново-Кемеровская ТЭЦ</x:v>
      </x:c>
      <x:c r="B290" s="16" t="str">
        <x:v>2000007429-U411</x:v>
      </x:c>
      <x:c r="C290" s="16" t="str">
        <x:v>ТРАНСФОРМАТОР ОСМ 0.063 380/220/12</x:v>
      </x:c>
      <x:c r="D290" s="16" t="str">
        <x:v>Трансформаторы измерительные</x:v>
      </x:c>
      <x:c r="E290" s="16" t="str">
        <x:v>ШТ</x:v>
      </x:c>
      <x:c r="F290" s="21" t="n">
        <x:v>2</x:v>
      </x:c>
      <x:c r="G290" s="17" t="n">
        <x:v>2337.825</x:v>
      </x:c>
      <x:c r="H290" s="17" t="n">
        <x:f>G290*F290</x:f>
        <x:v>4675.65</x:v>
      </x:c>
      <x:c r="I290" s="22" t="str">
        <x:f>HYPERLINK("https://etp-aktiv.ru/catalog/materialy/ehlektrotekhnicheskie-materialy/2000007429-U411/","Открыть позицию")</x:f>
        <x:v>Открыть позицию</x:v>
      </x:c>
    </x:row>
    <x:row r="291" ht="28" customHeight="1">
      <x:c r="A291" s="16" t="str">
        <x:v>Ново-Кемеровская ТЭЦ</x:v>
      </x:c>
      <x:c r="B291" s="16" t="str">
        <x:v>2000007094-U411</x:v>
      </x:c>
      <x:c r="C291" s="16" t="str">
        <x:v>ТРАНСФОРМАТОР ТОКА Т-0,66 200/5</x:v>
      </x:c>
      <x:c r="D291" s="16" t="str">
        <x:v>Трансформаторы измерительные</x:v>
      </x:c>
      <x:c r="E291" s="16" t="str">
        <x:v>ШТ</x:v>
      </x:c>
      <x:c r="F291" s="21" t="n">
        <x:v>2</x:v>
      </x:c>
      <x:c r="G291" s="17" t="n">
        <x:v>574.3638</x:v>
      </x:c>
      <x:c r="H291" s="17" t="n">
        <x:f>G291*F291</x:f>
        <x:v>1148.7276</x:v>
      </x:c>
      <x:c r="I291" s="22" t="str">
        <x:f>HYPERLINK("https://etp-aktiv.ru/catalog/materialy/ehlektrotekhnicheskie-materialy/2000007094-U411/","Открыть позицию")</x:f>
        <x:v>Открыть позицию</x:v>
      </x:c>
    </x:row>
    <x:row r="292" ht="28" customHeight="1">
      <x:c r="A292" s="16" t="str">
        <x:v>Ново-Кемеровская ТЭЦ</x:v>
      </x:c>
      <x:c r="B292" s="16" t="str">
        <x:v>2000005435-U411</x:v>
      </x:c>
      <x:c r="C292" s="16" t="str">
        <x:v>ТРАНСФОРМАТОР ТОКА Т-0,66 300/5</x:v>
      </x:c>
      <x:c r="D292" s="16" t="str">
        <x:v>Трансформаторы измерительные</x:v>
      </x:c>
      <x:c r="E292" s="16" t="str">
        <x:v>ШТ</x:v>
      </x:c>
      <x:c r="F292" s="21" t="n">
        <x:v>2</x:v>
      </x:c>
      <x:c r="G292" s="17" t="n">
        <x:v>950.0018</x:v>
      </x:c>
      <x:c r="H292" s="17" t="n">
        <x:f>G292*F292</x:f>
        <x:v>1900.0036</x:v>
      </x:c>
      <x:c r="I292" s="22" t="str">
        <x:f>HYPERLINK("https://etp-aktiv.ru/catalog/materialy/ehlektrotekhnicheskie-materialy/2000005435-U411/","Открыть позицию")</x:f>
        <x:v>Открыть позицию</x:v>
      </x:c>
    </x:row>
    <x:row r="293" ht="28" customHeight="1">
      <x:c r="A293" s="16" t="str">
        <x:v>Ново-Кемеровская ТЭЦ</x:v>
      </x:c>
      <x:c r="B293" s="16" t="str">
        <x:v>M5000070262-U411</x:v>
      </x:c>
      <x:c r="C293" s="16" t="str">
        <x:v>ТРАНСФОРМАТОР ТСЗ-400/6-УЗ 0,4КВ</x:v>
      </x:c>
      <x:c r="D293" s="16" t="str">
        <x:v>@Трансформаторы силовые</x:v>
      </x:c>
      <x:c r="E293" s="16" t="str">
        <x:v>ШТ</x:v>
      </x:c>
      <x:c r="F293" s="21" t="n">
        <x:v>1</x:v>
      </x:c>
      <x:c r="G293" s="17" t="n">
        <x:v>49166</x:v>
      </x:c>
      <x:c r="H293" s="17" t="n">
        <x:f>G293*F293</x:f>
        <x:v>49166</x:v>
      </x:c>
      <x:c r="I293" s="22" t="str">
        <x:f>HYPERLINK("https://etp-aktiv.ru/catalog/oborudovanie/ehlektrooborudovanie/M5000070262-U411/","Открыть позицию")</x:f>
        <x:v>Открыть позицию</x:v>
      </x:c>
    </x:row>
    <x:row r="294" ht="28" customHeight="1">
      <x:c r="A294" s="16" t="str">
        <x:v>Ново-Кемеровская ТЭЦ</x:v>
      </x:c>
      <x:c r="B294" s="16" t="str">
        <x:v>2000013301-U411</x:v>
      </x:c>
      <x:c r="C294" s="16" t="str">
        <x:v>ТРАНСФОРМАТОР ТСЗИ-2,5 380/220-12</x:v>
      </x:c>
      <x:c r="D294" s="16" t="str">
        <x:v>Трансформаторы измерительные</x:v>
      </x:c>
      <x:c r="E294" s="16" t="str">
        <x:v>ШТ</x:v>
      </x:c>
      <x:c r="F294" s="21" t="n">
        <x:v>1</x:v>
      </x:c>
      <x:c r="G294" s="17" t="n">
        <x:v>5487.096399999999</x:v>
      </x:c>
      <x:c r="H294" s="17" t="n">
        <x:f>G294*F294</x:f>
        <x:v>5487.096399999999</x:v>
      </x:c>
      <x:c r="I294" s="22" t="str">
        <x:f>HYPERLINK("https://etp-aktiv.ru/catalog/materialy/ehlektrotekhnicheskie-materialy/2000013301-U411/","Открыть позицию")</x:f>
        <x:v>Открыть позицию</x:v>
      </x:c>
    </x:row>
    <x:row r="295" ht="28" customHeight="1">
      <x:c r="A295" s="16" t="str">
        <x:v>Ново-Кемеровская ТЭЦ</x:v>
      </x:c>
      <x:c r="B295" s="16" t="str">
        <x:v>2000536993-U411</x:v>
      </x:c>
      <x:c r="C295" s="16" t="str">
        <x:v>УПОР НА DIN-РЕЙКУ KD4 495059</x:v>
      </x:c>
      <x:c r="D295" s="16" t="str">
        <x:v>Низковольтная аппаратура и запасные части</x:v>
      </x:c>
      <x:c r="E295" s="16" t="str">
        <x:v>ШТ</x:v>
      </x:c>
      <x:c r="F295" s="21" t="n">
        <x:v>200</x:v>
      </x:c>
      <x:c r="G295" s="17" t="n">
        <x:v>29.9998</x:v>
      </x:c>
      <x:c r="H295" s="17" t="n">
        <x:f>G295*F295</x:f>
        <x:v>5999.96</x:v>
      </x:c>
      <x:c r="I295" s="22" t="str">
        <x:f>HYPERLINK("https://etp-aktiv.ru/catalog/materialy/nizkovoltnaya-apparatura-i-zapasnye-chasti/2000536993-U411/","Открыть позицию")</x:f>
        <x:v>Открыть позицию</x:v>
      </x:c>
    </x:row>
    <x:row r="296" ht="28" customHeight="1">
      <x:c r="A296" s="16" t="str">
        <x:v>Ново-Кемеровская ТЭЦ</x:v>
      </x:c>
      <x:c r="B296" s="16" t="str">
        <x:v>2000887038-U411</x:v>
      </x:c>
      <x:c r="C296" s="16" t="str">
        <x:v>ШНУР-ЧУЛОК С83 3 ТУ17 РСФСР21.2-247-12-9</x:v>
      </x:c>
      <x:c r="D296" s="16" t="str">
        <x:v>Электроизоляционные материалы</x:v>
      </x:c>
      <x:c r="E296" s="16" t="str">
        <x:v>М</x:v>
      </x:c>
      <x:c r="F296" s="21" t="n">
        <x:v>15000</x:v>
      </x:c>
      <x:c r="G296" s="17" t="n">
        <x:v>1.7202</x:v>
      </x:c>
      <x:c r="H296" s="17" t="n">
        <x:f>G296*F296</x:f>
        <x:v>25803</x:v>
      </x:c>
      <x:c r="I296" s="22" t="str">
        <x:f>HYPERLINK("https://etp-aktiv.ru/catalog/materialy/ehlektroizolyacionnye-materialy/2000887038-U411/","Открыть позицию")</x:f>
        <x:v>Открыть позицию</x:v>
      </x:c>
    </x:row>
    <x:row r="297" ht="28" customHeight="1">
      <x:c r="A297" s="16" t="str">
        <x:v>Ново-Кемеровская ТЭЦ</x:v>
      </x:c>
      <x:c r="B297" s="16" t="str">
        <x:v>M2000183092-U411</x:v>
      </x:c>
      <x:c r="C297" s="16" t="str">
        <x:v>Э/ДВИГ АИР315М4У4 200/380/1500/IM1081</x:v>
      </x:c>
      <x:c r="D297" s="16" t="str">
        <x:v>@Электродвигатели</x:v>
      </x:c>
      <x:c r="E297" s="16" t="str">
        <x:v>ШТ</x:v>
      </x:c>
      <x:c r="F297" s="21" t="n">
        <x:v>1</x:v>
      </x:c>
      <x:c r="G297" s="17" t="n">
        <x:v>40992</x:v>
      </x:c>
      <x:c r="H297" s="17" t="n">
        <x:f>G297*F297</x:f>
        <x:v>40992</x:v>
      </x:c>
      <x:c r="I297" s="22" t="str">
        <x:f>HYPERLINK("https://etp-aktiv.ru/catalog/materialy/ehlektrodvigateli/M2000183092-U411/","Открыть позицию")</x:f>
        <x:v>Открыть позицию</x:v>
      </x:c>
    </x:row>
    <x:row r="298" ht="28" customHeight="1">
      <x:c r="A298" s="16" t="str">
        <x:v>Ново-Кемеровская ТЭЦ</x:v>
      </x:c>
      <x:c r="B298" s="16" t="str">
        <x:v>M2000977518-U411</x:v>
      </x:c>
      <x:c r="C298" s="16" t="str">
        <x:v>Э/ДВИГ АО102-4МУ2 160/380/1500/IM1001</x:v>
      </x:c>
      <x:c r="D298" s="16" t="str">
        <x:v>@Электродвигатели</x:v>
      </x:c>
      <x:c r="E298" s="16" t="str">
        <x:v>ШТ</x:v>
      </x:c>
      <x:c r="F298" s="21" t="n">
        <x:v>1</x:v>
      </x:c>
      <x:c r="G298" s="17" t="n">
        <x:v>44749.6</x:v>
      </x:c>
      <x:c r="H298" s="17" t="n">
        <x:f>G298*F298</x:f>
        <x:v>44749.6</x:v>
      </x:c>
      <x:c r="I298" s="22" t="str">
        <x:f>HYPERLINK("https://etp-aktiv.ru/catalog/materialy/ehlektrodvigateli/M2000977518-U411/","Открыть позицию")</x:f>
        <x:v>Открыть позицию</x:v>
      </x:c>
    </x:row>
    <x:row r="299" ht="28" customHeight="1">
      <x:c r="A299" s="16" t="str">
        <x:v>Ново-Кемеровская ТЭЦ</x:v>
      </x:c>
      <x:c r="B299" s="16" t="str">
        <x:v>M2000977623-U411</x:v>
      </x:c>
      <x:c r="C299" s="16" t="str">
        <x:v>Э/ДВИГ АО114-6 160/6000/1000/IM1001</x:v>
      </x:c>
      <x:c r="D299" s="16" t="str">
        <x:v>@Электродвигатели</x:v>
      </x:c>
      <x:c r="E299" s="16" t="str">
        <x:v>ШТ</x:v>
      </x:c>
      <x:c r="F299" s="21" t="n">
        <x:v>3</x:v>
      </x:c>
      <x:c r="G299" s="17" t="n">
        <x:v>67978.4</x:v>
      </x:c>
      <x:c r="H299" s="17" t="n">
        <x:f>G299*F299</x:f>
        <x:v>203935.19999999998</x:v>
      </x:c>
      <x:c r="I299" s="22" t="str">
        <x:f>HYPERLINK("https://etp-aktiv.ru/catalog/materialy/ehlektrodvigateli/M2000977623-U411/","Открыть позицию")</x:f>
        <x:v>Открыть позицию</x:v>
      </x:c>
    </x:row>
    <x:row r="300" ht="28" customHeight="1">
      <x:c r="A300" s="16" t="str">
        <x:v>Ново-Кемеровская ТЭЦ</x:v>
      </x:c>
      <x:c r="B300" s="16" t="str">
        <x:v>2000552261-U411</x:v>
      </x:c>
      <x:c r="C300" s="16" t="str">
        <x:v>Э/ДВИГ ВР-280М-8У2,5 75/380/750/IM1001</x:v>
      </x:c>
      <x:c r="D300" s="16" t="str">
        <x:v>Электродвигатели по тех. заданию</x:v>
      </x:c>
      <x:c r="E300" s="16" t="str">
        <x:v>ШТ</x:v>
      </x:c>
      <x:c r="F300" s="21" t="n">
        <x:v>2</x:v>
      </x:c>
      <x:c r="G300" s="17" t="n">
        <x:v>135090.7952</x:v>
      </x:c>
      <x:c r="H300" s="17" t="n">
        <x:f>G300*F300</x:f>
        <x:v>270181.5904</x:v>
      </x:c>
      <x:c r="I300" s="22" t="str">
        <x:f>HYPERLINK("https://etp-aktiv.ru/catalog/materialy/ehlektrodvigateli/2000552261-U411/","Открыть позицию")</x:f>
        <x:v>Открыть позицию</x:v>
      </x:c>
    </x:row>
    <x:row r="301" ht="28" customHeight="1">
      <x:c r="A301" s="16" t="str">
        <x:v>Ново-Кемеровская ТЭЦ</x:v>
      </x:c>
      <x:c r="B301" s="16" t="str">
        <x:v>M2000552266-U411</x:v>
      </x:c>
      <x:c r="C301" s="16" t="str">
        <x:v>Э/ДВИГ ДАЗО12-42-6/8 85/380/988/741/1001</x:v>
      </x:c>
      <x:c r="D301" s="16" t="str">
        <x:v>@Электродвигатели</x:v>
      </x:c>
      <x:c r="E301" s="16" t="str">
        <x:v>ШТ</x:v>
      </x:c>
      <x:c r="F301" s="21" t="n">
        <x:v>3</x:v>
      </x:c>
      <x:c r="G301" s="17" t="n">
        <x:v>108275</x:v>
      </x:c>
      <x:c r="H301" s="17" t="n">
        <x:f>G301*F301</x:f>
        <x:v>324825</x:v>
      </x:c>
      <x:c r="I301" s="22" t="str">
        <x:f>HYPERLINK("https://etp-aktiv.ru/catalog/materialy/ehlektrodvigateli/M2000552266-U411/","Открыть позицию")</x:f>
        <x:v>Открыть позицию</x:v>
      </x:c>
    </x:row>
    <x:row r="302" ht="28" customHeight="1">
      <x:c r="A302" s="16" t="str">
        <x:v>Ново-Кемеровская ТЭЦ</x:v>
      </x:c>
      <x:c r="B302" s="16" t="str">
        <x:v>M2000552273-U411</x:v>
      </x:c>
      <x:c r="C302" s="16" t="str">
        <x:v>Э/ДВИГ ДАЗО2-17-44-8/10У1 630/320/6000</x:v>
      </x:c>
      <x:c r="D302" s="16" t="str">
        <x:v>@Электродвигатели</x:v>
      </x:c>
      <x:c r="E302" s="16" t="str">
        <x:v>ШТ</x:v>
      </x:c>
      <x:c r="F302" s="21" t="n">
        <x:v>0</x:v>
      </x:c>
      <x:c r="G302" s="17" t="n">
        <x:v>375532.2626</x:v>
      </x:c>
      <x:c r="H302" s="17" t="n">
        <x:f>G302*F302</x:f>
        <x:v>0</x:v>
      </x:c>
      <x:c r="I302" s="22" t="str">
        <x:f>HYPERLINK("https://etp-aktiv.ru/catalog/materialy/ehlektrodvigateli/M2000552273-U411/","Открыть позицию")</x:f>
        <x:v>Открыть позицию</x:v>
      </x:c>
    </x:row>
    <x:row r="303" ht="28" customHeight="1">
      <x:c r="A303" s="16" t="str">
        <x:v>Ново-Кемеровская ТЭЦ</x:v>
      </x:c>
      <x:c r="B303" s="16" t="str">
        <x:v>2000694176-U411</x:v>
      </x:c>
      <x:c r="C303" s="16" t="str">
        <x:v>Э/ЩЕТКА М1 16*40*50 К4-2 ПЩ-6,0*125 10ПГ</x:v>
      </x:c>
      <x:c r="D303" s="16" t="str">
        <x:v>Электрощетки</x:v>
      </x:c>
      <x:c r="E303" s="16" t="str">
        <x:v>ШТ</x:v>
      </x:c>
      <x:c r="F303" s="21" t="n">
        <x:v>20</x:v>
      </x:c>
      <x:c r="G303" s="17" t="n">
        <x:v>137.71359999999999</x:v>
      </x:c>
      <x:c r="H303" s="17" t="n">
        <x:f>G303*F303</x:f>
        <x:v>2754.272</x:v>
      </x:c>
      <x:c r="I303" s="22" t="str">
        <x:f>HYPERLINK("https://etp-aktiv.ru/catalog/materialy/ehlektrotekhnicheskie-materialy/2000694176-U411/","Открыть позицию")</x:f>
        <x:v>Открыть позицию</x:v>
      </x:c>
    </x:row>
    <x:row r="304" ht="28" customHeight="1">
      <x:c r="A304" s="16" t="str">
        <x:v>Ново-Кемеровская ТЭЦ</x:v>
      </x:c>
      <x:c r="B304" s="16" t="str">
        <x:v>2000162946-U411</x:v>
      </x:c>
      <x:c r="C304" s="16" t="str">
        <x:v>ЭЛЕКТРОКАРТОН ЭВ 1ММ</x:v>
      </x:c>
      <x:c r="D304" s="16" t="str">
        <x:v>Электроизоляционные материалы</x:v>
      </x:c>
      <x:c r="E304" s="16" t="str">
        <x:v>КГ</x:v>
      </x:c>
      <x:c r="F304" s="30" t="n">
        <x:v>0.3</x:v>
      </x:c>
      <x:c r="G304" s="17" t="n">
        <x:v>86.925</x:v>
      </x:c>
      <x:c r="H304" s="17" t="n">
        <x:f>G304*F304</x:f>
        <x:v>26.077499999999997</x:v>
      </x:c>
      <x:c r="I304" s="22" t="str">
        <x:f>HYPERLINK("https://etp-aktiv.ru/catalog/materialy/ehlektroizolyacionnye-materialy/2000162946-U411/","Открыть позицию")</x:f>
        <x:v>Открыть позицию</x:v>
      </x:c>
    </x:row>
    <x:row r="305" ht="28" customHeight="1">
      <x:c r="A305" s="16" t="str">
        <x:v>Ново-Кемеровская ТЭЦ</x:v>
      </x:c>
      <x:c r="B305" s="16" t="str">
        <x:v>2000047188-U411</x:v>
      </x:c>
      <x:c r="C305" s="16" t="str">
        <x:v>ЭМАЛЬ ЭП-9111 5Л КРАСНО-КОРИЧНЕВАЯ</x:v>
      </x:c>
      <x:c r="D305" s="16" t="str">
        <x:v>Электроизоляционные материалы</x:v>
      </x:c>
      <x:c r="E305" s="16" t="str">
        <x:v>КГ</x:v>
      </x:c>
      <x:c r="F305" s="21" t="n">
        <x:v>20</x:v>
      </x:c>
      <x:c r="G305" s="17" t="n">
        <x:v>1482.3</x:v>
      </x:c>
      <x:c r="H305" s="17" t="n">
        <x:f>G305*F305</x:f>
        <x:v>29646</x:v>
      </x:c>
      <x:c r="I305" s="22" t="str">
        <x:f>HYPERLINK("https://etp-aktiv.ru/catalog/materialy/ehlektroizolyacionnye-materialy/2000047188-U411/","Открыть позицию")</x:f>
        <x:v>Открыть позицию</x:v>
      </x:c>
    </x:row>
    <x:row r="306" ht="28" customHeight="1">
      <x:c r="A306" s="16" t="str">
        <x:v>Томь-Усинская ГРЭС</x:v>
      </x:c>
      <x:c r="B306" s="16" t="str">
        <x:v>2000018837-U111</x:v>
      </x:c>
      <x:c r="C306" s="16" t="str">
        <x:v>А ЛАМПА 24*5</x:v>
      </x:c>
      <x:c r="D306" s="16" t="str">
        <x:v>Осветительная продукция и изделия электроустановочные</x:v>
      </x:c>
      <x:c r="E306" s="16" t="str">
        <x:v>ШТ</x:v>
      </x:c>
      <x:c r="F306" s="21" t="n">
        <x:v>40</x:v>
      </x:c>
      <x:c r="G306" s="17" t="n">
        <x:v>43.92</x:v>
      </x:c>
      <x:c r="H306" s="17" t="n">
        <x:f>G306*F306</x:f>
        <x:v>1756.8000000000002</x:v>
      </x:c>
      <x:c r="I306" s="22" t="str">
        <x:f>HYPERLINK("https://etp-aktiv.ru/catalog/materialy/ehlektrotekhnicheskie-materialy/2000018837-U111/","Открыть позицию")</x:f>
        <x:v>Открыть позицию</x:v>
      </x:c>
    </x:row>
    <x:row r="307" ht="28" customHeight="1">
      <x:c r="A307" s="16" t="str">
        <x:v>Томь-Усинская ГРЭС</x:v>
      </x:c>
      <x:c r="B307" s="16" t="str">
        <x:v>2000544814-U111</x:v>
      </x:c>
      <x:c r="C307" s="16" t="str">
        <x:v>А ЛАМПА HB4 12В 55ВТ</x:v>
      </x:c>
      <x:c r="D307" s="16" t="str">
        <x:v>Осветит-я продукция и изделия э/установоч спец-е и под заказ</x:v>
      </x:c>
      <x:c r="E307" s="16" t="str">
        <x:v>ШТ</x:v>
      </x:c>
      <x:c r="F307" s="21" t="n">
        <x:v>6</x:v>
      </x:c>
      <x:c r="G307" s="17" t="n">
        <x:v>1509.75</x:v>
      </x:c>
      <x:c r="H307" s="17" t="n">
        <x:f>G307*F307</x:f>
        <x:v>9058.5</x:v>
      </x:c>
      <x:c r="I307" s="22" t="str">
        <x:f>HYPERLINK("https://etp-aktiv.ru/catalog/materialy/ehlektrotekhnicheskie-materialy/2000544814-U111/","Открыть позицию")</x:f>
        <x:v>Открыть позицию</x:v>
      </x:c>
    </x:row>
    <x:row r="308" ht="28" customHeight="1">
      <x:c r="A308" s="16" t="str">
        <x:v>Томь-Усинская ГРЭС</x:v>
      </x:c>
      <x:c r="B308" s="16" t="str">
        <x:v>2000339021-U111</x:v>
      </x:c>
      <x:c r="C308" s="16" t="str">
        <x:v>А ЛАМПА А12-21 ВА15S ГОСТ2023.1-89</x:v>
      </x:c>
      <x:c r="D308" s="16" t="str">
        <x:v>Осветит-я продукция и изделия э/установоч спец-е и под заказ</x:v>
      </x:c>
      <x:c r="E308" s="16" t="str">
        <x:v>ШТ</x:v>
      </x:c>
      <x:c r="F308" s="21" t="n">
        <x:v>30</x:v>
      </x:c>
      <x:c r="G308" s="17" t="n">
        <x:v>54.9</x:v>
      </x:c>
      <x:c r="H308" s="17" t="n">
        <x:f>G308*F308</x:f>
        <x:v>1647</x:v>
      </x:c>
      <x:c r="I308" s="22" t="str">
        <x:f>HYPERLINK("https://etp-aktiv.ru/catalog/materialy/ehlektrotekhnicheskie-materialy/2000339021-U111/","Открыть позицию")</x:f>
        <x:v>Открыть позицию</x:v>
      </x:c>
    </x:row>
    <x:row r="309" ht="28" customHeight="1">
      <x:c r="A309" s="16" t="str">
        <x:v>Томь-Усинская ГРЭС</x:v>
      </x:c>
      <x:c r="B309" s="16" t="str">
        <x:v>2000291429-U111</x:v>
      </x:c>
      <x:c r="C309" s="16" t="str">
        <x:v>А ЛАМПА А12-5</x:v>
      </x:c>
      <x:c r="D309" s="16" t="str">
        <x:v>Осветительная продукция и изделия электроустановочные</x:v>
      </x:c>
      <x:c r="E309" s="16" t="str">
        <x:v>ШТ</x:v>
      </x:c>
      <x:c r="F309" s="21" t="n">
        <x:v>30</x:v>
      </x:c>
      <x:c r="G309" s="17" t="n">
        <x:v>43.92</x:v>
      </x:c>
      <x:c r="H309" s="17" t="n">
        <x:f>G309*F309</x:f>
        <x:v>1317.6000000000001</x:v>
      </x:c>
      <x:c r="I309" s="22" t="str">
        <x:f>HYPERLINK("https://etp-aktiv.ru/catalog/materialy/ehlektrotekhnicheskie-materialy/2000291429-U111/","Открыть позицию")</x:f>
        <x:v>Открыть позицию</x:v>
      </x:c>
    </x:row>
    <x:row r="310" ht="28" customHeight="1">
      <x:c r="A310" s="16" t="str">
        <x:v>Томь-Усинская ГРЭС</x:v>
      </x:c>
      <x:c r="B310" s="16" t="str">
        <x:v>2000520424-U111</x:v>
      </x:c>
      <x:c r="C310" s="16" t="str">
        <x:v>А ЛАМПА Н3 24V 75W</x:v>
      </x:c>
      <x:c r="D310" s="16" t="str">
        <x:v>Осветит-я продукция и изделия э/установоч спец-е и под заказ</x:v>
      </x:c>
      <x:c r="E310" s="16" t="str">
        <x:v>ШТ</x:v>
      </x:c>
      <x:c r="F310" s="21" t="n">
        <x:v>30</x:v>
      </x:c>
      <x:c r="G310" s="17" t="n">
        <x:v>448.34999999999997</x:v>
      </x:c>
      <x:c r="H310" s="17" t="n">
        <x:f>G310*F310</x:f>
        <x:v>13450.499999999998</x:v>
      </x:c>
      <x:c r="I310" s="22" t="str">
        <x:f>HYPERLINK("https://etp-aktiv.ru/catalog/materialy/ehlektrotekhnicheskie-materialy/2000520424-U111/","Открыть позицию")</x:f>
        <x:v>Открыть позицию</x:v>
      </x:c>
    </x:row>
    <x:row r="311" ht="28" customHeight="1">
      <x:c r="A311" s="16" t="str">
        <x:v>Томь-Усинская ГРЭС</x:v>
      </x:c>
      <x:c r="B311" s="16" t="str">
        <x:v>2000571360-U111</x:v>
      </x:c>
      <x:c r="C311" s="16" t="str">
        <x:v>АККУМУЛЯТОР GP 6120 6В 12АЧ</x:v>
      </x:c>
      <x:c r="D311" s="16" t="str">
        <x:v>Элементы питания</x:v>
      </x:c>
      <x:c r="E311" s="16" t="str">
        <x:v>ШТ</x:v>
      </x:c>
      <x:c r="F311" s="21" t="n">
        <x:v>10</x:v>
      </x:c>
      <x:c r="G311" s="17" t="n">
        <x:v>1198.6499999999999</x:v>
      </x:c>
      <x:c r="H311" s="17" t="n">
        <x:f>G311*F311</x:f>
        <x:v>11986.499999999998</x:v>
      </x:c>
      <x:c r="I311" s="22" t="str">
        <x:f>HYPERLINK("https://etp-aktiv.ru/catalog/materialy/akkumulyatory/2000571360-U111/","Открыть позицию")</x:f>
        <x:v>Открыть позицию</x:v>
      </x:c>
    </x:row>
    <x:row r="312" ht="28" customHeight="1">
      <x:c r="A312" s="16" t="str">
        <x:v>Томь-Усинская ГРЭС</x:v>
      </x:c>
      <x:c r="B312" s="16" t="str">
        <x:v>2000438352-U111</x:v>
      </x:c>
      <x:c r="C312" s="16" t="str">
        <x:v>АСПИРАТОР СИЛЬФОННЫЙ АМ-5Е</x:v>
      </x:c>
      <x:c r="D312" s="16" t="str">
        <x:v>Запасные части и принадлежности для приборов КИПиА</x:v>
      </x:c>
      <x:c r="E312" s="16" t="str">
        <x:v>ШТ</x:v>
      </x:c>
      <x:c r="F312" s="21" t="n">
        <x:v>1</x:v>
      </x:c>
      <x:c r="G312" s="17" t="n">
        <x:v>12297.6</x:v>
      </x:c>
      <x:c r="H312" s="17" t="n">
        <x:f>G312*F312</x:f>
        <x:v>12297.6</x:v>
      </x:c>
      <x:c r="I312" s="22" t="str">
        <x:f>HYPERLINK("https://etp-aktiv.ru/catalog/materialy/zapasnye-chasti-i-prinadlezhnosti-dlya-priborov-kipia/2000438352-U111/","Открыть позицию")</x:f>
        <x:v>Открыть позицию</x:v>
      </x:c>
    </x:row>
    <x:row r="313" ht="28" customHeight="1">
      <x:c r="A313" s="16" t="str">
        <x:v>Томь-Усинская ГРЭС</x:v>
      </x:c>
      <x:c r="B313" s="16" t="str">
        <x:v>2000524647-U111</x:v>
      </x:c>
      <x:c r="C313" s="16" t="str">
        <x:v>ВКЛАДЫШ 5ВК.263.184ИД</x:v>
      </x:c>
      <x:c r="D313" s="16" t="str">
        <x:v>Запасные части к электродвигателям</x:v>
      </x:c>
      <x:c r="E313" s="16" t="str">
        <x:v>ШТ</x:v>
      </x:c>
      <x:c r="F313" s="21" t="n">
        <x:v>1</x:v>
      </x:c>
      <x:c r="G313" s="17" t="n">
        <x:v>253688.9716</x:v>
      </x:c>
      <x:c r="H313" s="17" t="n">
        <x:f>G313*F313</x:f>
        <x:v>253688.9716</x:v>
      </x:c>
      <x:c r="I313" s="22" t="str">
        <x:f>HYPERLINK("https://etp-aktiv.ru/catalog/materialy/ehlektrotekhnicheskie-materialy/2000524647-U111/","Открыть позицию")</x:f>
        <x:v>Открыть позицию</x:v>
      </x:c>
    </x:row>
    <x:row r="314" ht="28" customHeight="1">
      <x:c r="A314" s="16" t="str">
        <x:v>Томь-Усинская ГРЭС</x:v>
      </x:c>
      <x:c r="B314" s="16" t="str">
        <x:v>2000548482-U111</x:v>
      </x:c>
      <x:c r="C314" s="16" t="str">
        <x:v>ГЕТИНАКС V ВС 3ММ ГОСТ2718-74</x:v>
      </x:c>
      <x:c r="D314" s="16" t="str">
        <x:v>Электроизоляционные материалы</x:v>
      </x:c>
      <x:c r="E314" s="16" t="str">
        <x:v>КГ</x:v>
      </x:c>
      <x:c r="F314" s="29" t="n">
        <x:v>8.2</x:v>
      </x:c>
      <x:c r="G314" s="17" t="n">
        <x:v>230.0066</x:v>
      </x:c>
      <x:c r="H314" s="17" t="n">
        <x:f>G314*F314</x:f>
        <x:v>1886.0541199999998</x:v>
      </x:c>
      <x:c r="I314" s="22" t="str">
        <x:f>HYPERLINK("https://etp-aktiv.ru/catalog/materialy/ehlektroizolyacionnye-materialy/2000548482-U111/","Открыть позицию")</x:f>
        <x:v>Открыть позицию</x:v>
      </x:c>
    </x:row>
    <x:row r="315" ht="28" customHeight="1">
      <x:c r="A315" s="16" t="str">
        <x:v>Томь-Усинская ГРЭС</x:v>
      </x:c>
      <x:c r="B315" s="16" t="str">
        <x:v>2000915228-U111</x:v>
      </x:c>
      <x:c r="C315" s="16" t="str">
        <x:v>ДИОД СИЛОВОЙ Д 133-400 10 УХЛ2</x:v>
      </x:c>
      <x:c r="D315" s="16" t="str">
        <x:v>Изделия радиоэлектронной техники</x:v>
      </x:c>
      <x:c r="E315" s="16" t="str">
        <x:v>ШТ</x:v>
      </x:c>
      <x:c r="F315" s="21" t="n">
        <x:v>4</x:v>
      </x:c>
      <x:c r="G315" s="17" t="n">
        <x:v>6405</x:v>
      </x:c>
      <x:c r="H315" s="17" t="n">
        <x:f>G315*F315</x:f>
        <x:v>25620</x:v>
      </x:c>
      <x:c r="I315" s="22" t="str">
        <x:f>HYPERLINK("https://etp-aktiv.ru/catalog/materialy/prochie-materialy/2000915228-U111/","Открыть позицию")</x:f>
        <x:v>Открыть позицию</x:v>
      </x:c>
    </x:row>
    <x:row r="316" ht="28" customHeight="1">
      <x:c r="A316" s="16" t="str">
        <x:v>Томь-Усинская ГРЭС</x:v>
      </x:c>
      <x:c r="B316" s="16" t="str">
        <x:v>2000457878-U111</x:v>
      </x:c>
      <x:c r="C316" s="16" t="str">
        <x:v>ДОЗИМЕТР ИД-1</x:v>
      </x:c>
      <x:c r="D316" s="16" t="str">
        <x:v>Запасные части и принадлежности для приборов КИПиА</x:v>
      </x:c>
      <x:c r="E316" s="16" t="str">
        <x:v>ШТ</x:v>
      </x:c>
      <x:c r="F316" s="21" t="n">
        <x:v>3</x:v>
      </x:c>
      <x:c r="G316" s="17" t="n">
        <x:v>1242.1186</x:v>
      </x:c>
      <x:c r="H316" s="17" t="n">
        <x:f>G316*F316</x:f>
        <x:v>3726.3558000000003</x:v>
      </x:c>
      <x:c r="I316" s="22" t="str">
        <x:f>HYPERLINK("https://etp-aktiv.ru/catalog/materialy/zapasnye-chasti-i-prinadlezhnosti-dlya-priborov-kipia/2000457878-U111/","Открыть позицию")</x:f>
        <x:v>Открыть позицию</x:v>
      </x:c>
    </x:row>
    <x:row r="317" ht="28" customHeight="1">
      <x:c r="A317" s="16" t="str">
        <x:v>Томь-Усинская ГРЭС</x:v>
      </x:c>
      <x:c r="B317" s="16" t="str">
        <x:v>2000557514-U111</x:v>
      </x:c>
      <x:c r="C317" s="16" t="str">
        <x:v>ИЗМЕРИТЕЛЬ МОЩНОСТИ ДОЗЫ ИМД-2НМ</x:v>
      </x:c>
      <x:c r="D317" s="16" t="str">
        <x:v>Запасные части и принадлежности для приборов КИПиА</x:v>
      </x:c>
      <x:c r="E317" s="16" t="str">
        <x:v>ШТ</x:v>
      </x:c>
      <x:c r="F317" s="21" t="n">
        <x:v>1</x:v>
      </x:c>
      <x:c r="G317" s="17" t="n">
        <x:v>5467.759400000001</x:v>
      </x:c>
      <x:c r="H317" s="17" t="n">
        <x:f>G317*F317</x:f>
        <x:v>5467.759400000001</x:v>
      </x:c>
      <x:c r="I317" s="22" t="str">
        <x:f>HYPERLINK("https://etp-aktiv.ru/catalog/materialy/zapasnye-chasti-i-prinadlezhnosti-dlya-priborov-kipia/2000557514-U111/","Открыть позицию")</x:f>
        <x:v>Открыть позицию</x:v>
      </x:c>
    </x:row>
    <x:row r="318" ht="28" customHeight="1">
      <x:c r="A318" s="16" t="str">
        <x:v>Томь-Усинская ГРЭС</x:v>
      </x:c>
      <x:c r="B318" s="16" t="str">
        <x:v>2000447276-U111</x:v>
      </x:c>
      <x:c r="C318" s="16" t="str">
        <x:v>ИЗОЛЕНТА ХБ 19ММ*7М ГОСТ2162-97</x:v>
      </x:c>
      <x:c r="D318" s="16" t="str">
        <x:v>Электроизоляционные материалы</x:v>
      </x:c>
      <x:c r="E318" s="16" t="str">
        <x:v>ШТ</x:v>
      </x:c>
      <x:c r="F318" s="21" t="n">
        <x:v>247</x:v>
      </x:c>
      <x:c r="G318" s="17" t="n">
        <x:v>29.9998</x:v>
      </x:c>
      <x:c r="H318" s="17" t="n">
        <x:f>G318*F318</x:f>
        <x:v>7409.9506</x:v>
      </x:c>
      <x:c r="I318" s="22" t="str">
        <x:f>HYPERLINK("https://etp-aktiv.ru/catalog/materialy/ehlektroizolyacionnye-materialy/2000447276-U111/","Открыть позицию")</x:f>
        <x:v>Открыть позицию</x:v>
      </x:c>
    </x:row>
    <x:row r="319" ht="28" customHeight="1">
      <x:c r="A319" s="16" t="str">
        <x:v>Томь-Усинская ГРЭС</x:v>
      </x:c>
      <x:c r="B319" s="16" t="str">
        <x:v>2000551864-U111</x:v>
      </x:c>
      <x:c r="C319" s="16" t="str">
        <x:v>ИЗОЛЯТОР АРМИРОВАННЫЙ М12*42 СА-3/6-КВ</x:v>
      </x:c>
      <x:c r="D319" s="16" t="str">
        <x:v>Изоляторы</x:v>
      </x:c>
      <x:c r="E319" s="16" t="str">
        <x:v>ШТ</x:v>
      </x:c>
      <x:c r="F319" s="21" t="n">
        <x:v>1</x:v>
      </x:c>
      <x:c r="G319" s="17" t="n">
        <x:v>290.8846</x:v>
      </x:c>
      <x:c r="H319" s="17" t="n">
        <x:f>G319*F319</x:f>
        <x:v>290.8846</x:v>
      </x:c>
      <x:c r="I319" s="22" t="str">
        <x:f>HYPERLINK("https://etp-aktiv.ru/catalog/materialy/ehlektrotekhnicheskie-materialy/2000551864-U111/","Открыть позицию")</x:f>
        <x:v>Открыть позицию</x:v>
      </x:c>
    </x:row>
    <x:row r="320" ht="28" customHeight="1">
      <x:c r="A320" s="16" t="str">
        <x:v>Томь-Усинская ГРЭС</x:v>
      </x:c>
      <x:c r="B320" s="16" t="str">
        <x:v>2000035491-U111</x:v>
      </x:c>
      <x:c r="C320" s="16" t="str">
        <x:v>ИНДИКАТОР НАПРЯЖЕНИЯ ПИН-90-2М</x:v>
      </x:c>
      <x:c r="D320" s="16" t="str">
        <x:v>Запасные части и принадлежности для приборов КИПиА</x:v>
      </x:c>
      <x:c r="E320" s="16" t="str">
        <x:v>ШТ</x:v>
      </x:c>
      <x:c r="F320" s="21" t="n">
        <x:v>5</x:v>
      </x:c>
      <x:c r="G320" s="17" t="n">
        <x:v>183</x:v>
      </x:c>
      <x:c r="H320" s="17" t="n">
        <x:f>G320*F320</x:f>
        <x:v>915</x:v>
      </x:c>
      <x:c r="I320" s="22" t="str">
        <x:f>HYPERLINK("https://etp-aktiv.ru/catalog/materialy/zapasnye-chasti-i-prinadlezhnosti-dlya-priborov-kipia/2000035491-U111/","Открыть позицию")</x:f>
        <x:v>Открыть позицию</x:v>
      </x:c>
    </x:row>
    <x:row r="321" ht="28" customHeight="1">
      <x:c r="A321" s="16" t="str">
        <x:v>Томь-Усинская ГРЭС</x:v>
      </x:c>
      <x:c r="B321" s="16" t="str">
        <x:v>2000557516-U111</x:v>
      </x:c>
      <x:c r="C321" s="16" t="str">
        <x:v>ИНДИКАТОР-СИГНАЛИЗАТОР ДП-64</x:v>
      </x:c>
      <x:c r="D321" s="16" t="str">
        <x:v>Запасные части и принадлежности для приборов КИПиА</x:v>
      </x:c>
      <x:c r="E321" s="16" t="str">
        <x:v>ШТ</x:v>
      </x:c>
      <x:c r="F321" s="21" t="n">
        <x:v>0</x:v>
      </x:c>
      <x:c r="G321" s="17" t="n">
        <x:v>184.82999999999998</x:v>
      </x:c>
      <x:c r="H321" s="17" t="n">
        <x:f>G321*F321</x:f>
        <x:v>0</x:v>
      </x:c>
      <x:c r="I321" s="22" t="str">
        <x:f>HYPERLINK("https://etp-aktiv.ru/catalog/materialy/zapasnye-chasti-i-prinadlezhnosti-dlya-priborov-kipia/2000557516-U111/","Открыть позицию")</x:f>
        <x:v>Открыть позицию</x:v>
      </x:c>
    </x:row>
    <x:row r="322" ht="28" customHeight="1">
      <x:c r="A322" s="16" t="str">
        <x:v>Томь-Усинская ГРЭС</x:v>
      </x:c>
      <x:c r="B322" s="16" t="str">
        <x:v>2000536415-U111</x:v>
      </x:c>
      <x:c r="C322" s="16" t="str">
        <x:v>КАТУШКА КОНТАКТОРА КТ-6013 100А 220В</x:v>
      </x:c>
      <x:c r="D322" s="16" t="str">
        <x:v>Низковольтная аппаратура и запасные части</x:v>
      </x:c>
      <x:c r="E322" s="16" t="str">
        <x:v>ШТ</x:v>
      </x:c>
      <x:c r="F322" s="21" t="n">
        <x:v>2</x:v>
      </x:c>
      <x:c r="G322" s="17" t="n">
        <x:v>355.142</x:v>
      </x:c>
      <x:c r="H322" s="17" t="n">
        <x:f>G322*F322</x:f>
        <x:v>710.284</x:v>
      </x:c>
      <x:c r="I322" s="22" t="str">
        <x:f>HYPERLINK("https://etp-aktiv.ru/catalog/materialy/nizkovoltnaya-apparatura-i-zapasnye-chasti/2000536415-U111/","Открыть позицию")</x:f>
        <x:v>Открыть позицию</x:v>
      </x:c>
    </x:row>
    <x:row r="323" ht="28" customHeight="1">
      <x:c r="A323" s="16" t="str">
        <x:v>Томь-Усинская ГРЭС</x:v>
      </x:c>
      <x:c r="B323" s="16" t="str">
        <x:v>2000324301-U111</x:v>
      </x:c>
      <x:c r="C323" s="16" t="str">
        <x:v>КМП ПРОТИВООЖОГОВЫЙ КИП</x:v>
      </x:c>
      <x:c r="D323" s="16" t="str">
        <x:v>Медикаменты и продукция медицинского назначения</x:v>
      </x:c>
      <x:c r="E323" s="16" t="str">
        <x:v>ШТ</x:v>
      </x:c>
      <x:c r="F323" s="21" t="n">
        <x:v>25</x:v>
      </x:c>
      <x:c r="G323" s="17" t="n">
        <x:v>205.875</x:v>
      </x:c>
      <x:c r="H323" s="17" t="n">
        <x:f>G323*F323</x:f>
        <x:v>5146.875</x:v>
      </x:c>
      <x:c r="I323" s="22" t="str">
        <x:f>HYPERLINK("https://etp-aktiv.ru/catalog/materialy/medikamenty-i-produkciya-medicinskogo-naznacheniya/2000324301-U111/","Открыть позицию")</x:f>
        <x:v>Открыть позицию</x:v>
      </x:c>
    </x:row>
    <x:row r="324" ht="28" customHeight="1">
      <x:c r="A324" s="16" t="str">
        <x:v>Томь-Усинская ГРЭС</x:v>
      </x:c>
      <x:c r="B324" s="16" t="str">
        <x:v>2000027530-U111</x:v>
      </x:c>
      <x:c r="C324" s="16" t="str">
        <x:v>КОНТАКТОР КТ-6013 380В 100А</x:v>
      </x:c>
      <x:c r="D324" s="16" t="str">
        <x:v>Низковольтная аппаратура и запасные части</x:v>
      </x:c>
      <x:c r="E324" s="16" t="str">
        <x:v>ШТ</x:v>
      </x:c>
      <x:c r="F324" s="21" t="n">
        <x:v>4</x:v>
      </x:c>
      <x:c r="G324" s="17" t="n">
        <x:v>4666.5</x:v>
      </x:c>
      <x:c r="H324" s="17" t="n">
        <x:f>G324*F324</x:f>
        <x:v>18666</x:v>
      </x:c>
      <x:c r="I324" s="22" t="str">
        <x:f>HYPERLINK("https://etp-aktiv.ru/catalog/materialy/nizkovoltnaya-apparatura-i-zapasnye-chasti/2000027530-U111/","Открыть позицию")</x:f>
        <x:v>Открыть позицию</x:v>
      </x:c>
    </x:row>
    <x:row r="325" ht="28" customHeight="1">
      <x:c r="A325" s="16" t="str">
        <x:v>Томь-Усинская ГРЭС</x:v>
      </x:c>
      <x:c r="B325" s="16" t="str">
        <x:v>2000027553-U111</x:v>
      </x:c>
      <x:c r="C325" s="16" t="str">
        <x:v>КОНТАКТОР КТ-6033 380В 250А</x:v>
      </x:c>
      <x:c r="D325" s="16" t="str">
        <x:v>Низковольтная аппаратура и запасные части</x:v>
      </x:c>
      <x:c r="E325" s="16" t="str">
        <x:v>ШТ</x:v>
      </x:c>
      <x:c r="F325" s="21" t="n">
        <x:v>2</x:v>
      </x:c>
      <x:c r="G325" s="17" t="n">
        <x:v>9936.2168</x:v>
      </x:c>
      <x:c r="H325" s="17" t="n">
        <x:f>G325*F325</x:f>
        <x:v>19872.4336</x:v>
      </x:c>
      <x:c r="I325" s="22" t="str">
        <x:f>HYPERLINK("https://etp-aktiv.ru/catalog/materialy/nizkovoltnaya-apparatura-i-zapasnye-chasti/2000027553-U111/","Открыть позицию")</x:f>
        <x:v>Открыть позицию</x:v>
      </x:c>
    </x:row>
    <x:row r="326" ht="28" customHeight="1">
      <x:c r="A326" s="16" t="str">
        <x:v>Томь-Усинская ГРЭС</x:v>
      </x:c>
      <x:c r="B326" s="16" t="str">
        <x:v>2000595634-U111</x:v>
      </x:c>
      <x:c r="C326" s="16" t="str">
        <x:v>КОРОБКА РАСПР DKC 01869 110*110*55 220В</x:v>
      </x:c>
      <x:c r="D326" s="16" t="str">
        <x:v>Осветительная продукция и изделия электроустановочные</x:v>
      </x:c>
      <x:c r="E326" s="16" t="str">
        <x:v>ШТ</x:v>
      </x:c>
      <x:c r="F326" s="21" t="n">
        <x:v>3</x:v>
      </x:c>
      <x:c r="G326" s="17" t="n">
        <x:v>695.4</x:v>
      </x:c>
      <x:c r="H326" s="17" t="n">
        <x:f>G326*F326</x:f>
        <x:v>2086.2</x:v>
      </x:c>
      <x:c r="I326" s="22" t="str">
        <x:f>HYPERLINK("https://etp-aktiv.ru/catalog/materialy/ehlektrotekhnicheskie-materialy/2000595634-U111/","Открыть позицию")</x:f>
        <x:v>Открыть позицию</x:v>
      </x:c>
    </x:row>
    <x:row r="327" ht="28" customHeight="1">
      <x:c r="A327" s="16" t="str">
        <x:v>Томь-Усинская ГРЭС</x:v>
      </x:c>
      <x:c r="B327" s="16" t="str">
        <x:v>2000302853-U111</x:v>
      </x:c>
      <x:c r="C327" s="16" t="str">
        <x:v>КОРПУС ЩМП-4-0 IP54 800*650*250</x:v>
      </x:c>
      <x:c r="D327" s="16" t="str">
        <x:v>Низковольтная аппаратура и запасные части</x:v>
      </x:c>
      <x:c r="E327" s="16" t="str">
        <x:v>ШТ</x:v>
      </x:c>
      <x:c r="F327" s="21" t="n">
        <x:v>1</x:v>
      </x:c>
      <x:c r="G327" s="17" t="n">
        <x:v>5171.2018</x:v>
      </x:c>
      <x:c r="H327" s="17" t="n">
        <x:f>G327*F327</x:f>
        <x:v>5171.2018</x:v>
      </x:c>
      <x:c r="I327" s="22" t="str">
        <x:f>HYPERLINK("https://etp-aktiv.ru/catalog/materialy/nizkovoltnaya-apparatura-i-zapasnye-chasti/2000302853-U111/","Открыть позицию")</x:f>
        <x:v>Открыть позицию</x:v>
      </x:c>
    </x:row>
    <x:row r="328" ht="28" customHeight="1">
      <x:c r="A328" s="16" t="str">
        <x:v>Томь-Усинская ГРЭС</x:v>
      </x:c>
      <x:c r="B328" s="16" t="str">
        <x:v>2000548527-U111</x:v>
      </x:c>
      <x:c r="C328" s="16" t="str">
        <x:v>ЛАВИТЕРМ ТТ 0,25ММ ТУ3491-008-31885305</x:v>
      </x:c>
      <x:c r="D328" s="16" t="str">
        <x:v>Электроизоляционные материалы</x:v>
      </x:c>
      <x:c r="E328" s="16" t="str">
        <x:v>КГ</x:v>
      </x:c>
      <x:c r="F328" s="29" t="n">
        <x:v>114.8</x:v>
      </x:c>
      <x:c r="G328" s="17" t="n">
        <x:v>1829.0240000000001</x:v>
      </x:c>
      <x:c r="H328" s="17" t="n">
        <x:f>G328*F328</x:f>
        <x:v>209971.9552</x:v>
      </x:c>
      <x:c r="I328" s="22" t="str">
        <x:f>HYPERLINK("https://etp-aktiv.ru/catalog/materialy/ehlektroizolyacionnye-materialy/2000548527-U111/","Открыть позицию")</x:f>
        <x:v>Открыть позицию</x:v>
      </x:c>
    </x:row>
    <x:row r="329" ht="28" customHeight="1">
      <x:c r="A329" s="16" t="str">
        <x:v>Томь-Усинская ГРЭС</x:v>
      </x:c>
      <x:c r="B329" s="16" t="str">
        <x:v>2000284059-U111</x:v>
      </x:c>
      <x:c r="C329" s="16" t="str">
        <x:v>ЛЕНТА КИПЕРНАЯ ЛЭ-20-24 20ММ</x:v>
      </x:c>
      <x:c r="D329" s="16" t="str">
        <x:v>Электроизоляционные материалы</x:v>
      </x:c>
      <x:c r="E329" s="16" t="str">
        <x:v>М</x:v>
      </x:c>
      <x:c r="F329" s="21" t="n">
        <x:v>300</x:v>
      </x:c>
      <x:c r="G329" s="17" t="n">
        <x:v>3.1597999999999997</x:v>
      </x:c>
      <x:c r="H329" s="17" t="n">
        <x:f>G329*F329</x:f>
        <x:v>947.9399999999999</x:v>
      </x:c>
      <x:c r="I329" s="22" t="str">
        <x:f>HYPERLINK("https://etp-aktiv.ru/catalog/materialy/ehlektroizolyacionnye-materialy/2000284059-U111/","Открыть позицию")</x:f>
        <x:v>Открыть позицию</x:v>
      </x:c>
    </x:row>
    <x:row r="330" ht="28" customHeight="1">
      <x:c r="A330" s="16" t="str">
        <x:v>Томь-Усинская ГРЭС</x:v>
      </x:c>
      <x:c r="B330" s="16" t="str">
        <x:v>2000556112-U111</x:v>
      </x:c>
      <x:c r="C330" s="16" t="str">
        <x:v>ЛЕНТА КИПЕРНАЯ ЛЭ-25-36 25ММ</x:v>
      </x:c>
      <x:c r="D330" s="16" t="str">
        <x:v>Электроизоляционные материалы</x:v>
      </x:c>
      <x:c r="E330" s="16" t="str">
        <x:v>М</x:v>
      </x:c>
      <x:c r="F330" s="21" t="n">
        <x:v>1300</x:v>
      </x:c>
      <x:c r="G330" s="17" t="n">
        <x:v>1.7446</x:v>
      </x:c>
      <x:c r="H330" s="17" t="n">
        <x:f>G330*F330</x:f>
        <x:v>2267.98</x:v>
      </x:c>
      <x:c r="I330" s="22" t="str">
        <x:f>HYPERLINK("https://etp-aktiv.ru/catalog/materialy/ehlektroizolyacionnye-materialy/2000556112-U111/","Открыть позицию")</x:f>
        <x:v>Открыть позицию</x:v>
      </x:c>
    </x:row>
    <x:row r="331" ht="28" customHeight="1">
      <x:c r="A331" s="16" t="str">
        <x:v>Томь-Усинская ГРЭС</x:v>
      </x:c>
      <x:c r="B331" s="16" t="str">
        <x:v>2000284058-U111</x:v>
      </x:c>
      <x:c r="C331" s="16" t="str">
        <x:v>ЛЕНТА КИПЕРНАЯ ЛЭ-30-46 ХБ 30ММ</x:v>
      </x:c>
      <x:c r="D331" s="16" t="str">
        <x:v>Электроизоляционные материалы</x:v>
      </x:c>
      <x:c r="E331" s="16" t="str">
        <x:v>М</x:v>
      </x:c>
      <x:c r="F331" s="21" t="n">
        <x:v>900</x:v>
      </x:c>
      <x:c r="G331" s="17" t="n">
        <x:v>1.9154</x:v>
      </x:c>
      <x:c r="H331" s="17" t="n">
        <x:f>G331*F331</x:f>
        <x:v>1723.86</x:v>
      </x:c>
      <x:c r="I331" s="22" t="str">
        <x:f>HYPERLINK("https://etp-aktiv.ru/catalog/materialy/ehlektroizolyacionnye-materialy/2000284058-U111/","Открыть позицию")</x:f>
        <x:v>Открыть позицию</x:v>
      </x:c>
    </x:row>
    <x:row r="332" ht="28" customHeight="1">
      <x:c r="A332" s="16" t="str">
        <x:v>Томь-Усинская ГРЭС</x:v>
      </x:c>
      <x:c r="B332" s="16" t="str">
        <x:v>2000130659-U111</x:v>
      </x:c>
      <x:c r="C332" s="16" t="str">
        <x:v>ЛЕНТА КИПЕРНАЯ ЛЭ-35-55 35ММ</x:v>
      </x:c>
      <x:c r="D332" s="16" t="str">
        <x:v>Электроизоляционные материалы</x:v>
      </x:c>
      <x:c r="E332" s="16" t="str">
        <x:v>ПМ</x:v>
      </x:c>
      <x:c r="F332" s="21" t="n">
        <x:v>600</x:v>
      </x:c>
      <x:c r="G332" s="17" t="n">
        <x:v>2.2814</x:v>
      </x:c>
      <x:c r="H332" s="17" t="n">
        <x:f>G332*F332</x:f>
        <x:v>1368.8400000000001</x:v>
      </x:c>
      <x:c r="I332" s="22" t="str">
        <x:f>HYPERLINK("https://etp-aktiv.ru/catalog/materialy/ehlektroizolyacionnye-materialy/2000130659-U111/","Открыть позицию")</x:f>
        <x:v>Открыть позицию</x:v>
      </x:c>
    </x:row>
    <x:row r="333" ht="28" customHeight="1">
      <x:c r="A333" s="16" t="str">
        <x:v>Томь-Усинская ГРЭС</x:v>
      </x:c>
      <x:c r="B333" s="16" t="str">
        <x:v>2000146367-U111</x:v>
      </x:c>
      <x:c r="C333" s="16" t="str">
        <x:v>ЛЕНТА СЛЮДИНИТОВАЯ ЛСЭП-934-ТПЛ 0,13*30</x:v>
      </x:c>
      <x:c r="D333" s="16" t="str">
        <x:v>Электроизоляционные материалы</x:v>
      </x:c>
      <x:c r="E333" s="16" t="str">
        <x:v>КГ</x:v>
      </x:c>
      <x:c r="F333" s="29" t="n">
        <x:v>274.9</x:v>
      </x:c>
      <x:c r="G333" s="17" t="n">
        <x:v>1066.829</x:v>
      </x:c>
      <x:c r="H333" s="17" t="n">
        <x:f>G333*F333</x:f>
        <x:v>293271.29209999996</x:v>
      </x:c>
      <x:c r="I333" s="22" t="str">
        <x:f>HYPERLINK("https://etp-aktiv.ru/catalog/materialy/ehlektroizolyacionnye-materialy/2000146367-U111/","Открыть позицию")</x:f>
        <x:v>Открыть позицию</x:v>
      </x:c>
    </x:row>
    <x:row r="334" ht="28" customHeight="1">
      <x:c r="A334" s="16" t="str">
        <x:v>Томь-Усинская ГРЭС</x:v>
      </x:c>
      <x:c r="B334" s="16" t="str">
        <x:v>2000260159-U111</x:v>
      </x:c>
      <x:c r="C334" s="16" t="str">
        <x:v>МАСЛОУКАЗАТЕЛЬ МС2-400 ХЛ1</x:v>
      </x:c>
      <x:c r="D334" s="16" t="str">
        <x:v>Запасные части к трансформаторам</x:v>
      </x:c>
      <x:c r="E334" s="16" t="str">
        <x:v>ШТ</x:v>
      </x:c>
      <x:c r="F334" s="21" t="n">
        <x:v>1</x:v>
      </x:c>
      <x:c r="G334" s="17" t="n">
        <x:v>14411.25</x:v>
      </x:c>
      <x:c r="H334" s="17" t="n">
        <x:f>G334*F334</x:f>
        <x:v>14411.25</x:v>
      </x:c>
      <x:c r="I334" s="22" t="str">
        <x:f>HYPERLINK("https://etp-aktiv.ru/catalog/materialy/ehlektrotekhnicheskie-materialy/2000260159-U111/","Открыть позицию")</x:f>
        <x:v>Открыть позицию</x:v>
      </x:c>
    </x:row>
    <x:row r="335" ht="28" customHeight="1">
      <x:c r="A335" s="16" t="str">
        <x:v>Томь-Усинская ГРЭС</x:v>
      </x:c>
      <x:c r="B335" s="16" t="str">
        <x:v>2000524360-U111</x:v>
      </x:c>
      <x:c r="C335" s="16" t="str">
        <x:v>ОБОЛОЧКА ЗАЩИТНАЯ ОЗТ 5,7*2,5</x:v>
      </x:c>
      <x:c r="D335" s="16" t="str">
        <x:v>Запасные части к трансформаторам</x:v>
      </x:c>
      <x:c r="E335" s="16" t="str">
        <x:v>ШТ</x:v>
      </x:c>
      <x:c r="F335" s="21" t="n">
        <x:v>1</x:v>
      </x:c>
      <x:c r="G335" s="17" t="n">
        <x:v>80178.8148</x:v>
      </x:c>
      <x:c r="H335" s="17" t="n">
        <x:f>G335*F335</x:f>
        <x:v>80178.8148</x:v>
      </x:c>
      <x:c r="I335" s="22" t="str">
        <x:f>HYPERLINK("https://etp-aktiv.ru/catalog/materialy/ehlektrotekhnicheskie-materialy/2000524360-U111/","Открыть позицию")</x:f>
        <x:v>Открыть позицию</x:v>
      </x:c>
    </x:row>
    <x:row r="336" ht="28" customHeight="1">
      <x:c r="A336" s="16" t="str">
        <x:v>Томь-Усинская ГРЭС</x:v>
      </x:c>
      <x:c r="B336" s="16" t="str">
        <x:v>2000582349-U111</x:v>
      </x:c>
      <x:c r="C336" s="16" t="str">
        <x:v>ПРОЖЕКТОР FERON LL-922 IP65 100ВТ 32103</x:v>
      </x:c>
      <x:c r="D336" s="16" t="str">
        <x:v>Осветительная продукция и изделия электроустановочные</x:v>
      </x:c>
      <x:c r="E336" s="16" t="str">
        <x:v>ШТ</x:v>
      </x:c>
      <x:c r="F336" s="21" t="n">
        <x:v>1</x:v>
      </x:c>
      <x:c r="G336" s="17" t="n">
        <x:v>519.72</x:v>
      </x:c>
      <x:c r="H336" s="17" t="n">
        <x:f>G336*F336</x:f>
        <x:v>519.72</x:v>
      </x:c>
      <x:c r="I336" s="22" t="str">
        <x:f>HYPERLINK("https://etp-aktiv.ru/catalog/materialy/ehlektrotekhnicheskie-materialy/2000582349-U111/","Открыть позицию")</x:f>
        <x:v>Открыть позицию</x:v>
      </x:c>
    </x:row>
    <x:row r="337" ht="28" customHeight="1">
      <x:c r="A337" s="16" t="str">
        <x:v>Томь-Усинская ГРЭС</x:v>
      </x:c>
      <x:c r="B337" s="16" t="str">
        <x:v>2000006903-U111</x:v>
      </x:c>
      <x:c r="C337" s="16" t="str">
        <x:v>ПРОЖЕКТОР ПЗМ 35-500 Е40 IP23 220В</x:v>
      </x:c>
      <x:c r="D337" s="16" t="str">
        <x:v>Осветительная продукция и изделия электроустановочные</x:v>
      </x:c>
      <x:c r="E337" s="16" t="str">
        <x:v>ШТ</x:v>
      </x:c>
      <x:c r="F337" s="21" t="n">
        <x:v>7</x:v>
      </x:c>
      <x:c r="G337" s="17" t="n">
        <x:v>1450.0066</x:v>
      </x:c>
      <x:c r="H337" s="17" t="n">
        <x:f>G337*F337</x:f>
        <x:v>10150.046199999999</x:v>
      </x:c>
      <x:c r="I337" s="22" t="str">
        <x:f>HYPERLINK("https://etp-aktiv.ru/catalog/materialy/ehlektrotekhnicheskie-materialy/2000006903-U111/","Открыть позицию")</x:f>
        <x:v>Открыть позицию</x:v>
      </x:c>
    </x:row>
    <x:row r="338" ht="28" customHeight="1">
      <x:c r="A338" s="16" t="str">
        <x:v>Томь-Усинская ГРЭС</x:v>
      </x:c>
      <x:c r="B338" s="16" t="str">
        <x:v>2000357134-U111</x:v>
      </x:c>
      <x:c r="C338" s="16" t="str">
        <x:v>РАДАР ДЕТЕКТОР GOBRA RU 880</x:v>
      </x:c>
      <x:c r="D338" s="16" t="str">
        <x:v>Элементы питания</x:v>
      </x:c>
      <x:c r="E338" s="16" t="str">
        <x:v>ШТ</x:v>
      </x:c>
      <x:c r="F338" s="21" t="n">
        <x:v>1</x:v>
      </x:c>
      <x:c r="G338" s="17" t="n">
        <x:v>6379.38</x:v>
      </x:c>
      <x:c r="H338" s="17" t="n">
        <x:f>G338*F338</x:f>
        <x:v>6379.38</x:v>
      </x:c>
      <x:c r="I338" s="22" t="str">
        <x:f>HYPERLINK("https://etp-aktiv.ru/catalog/materialy/akkumulyatory/2000357134-U111/","Открыть позицию")</x:f>
        <x:v>Открыть позицию</x:v>
      </x:c>
    </x:row>
    <x:row r="339" ht="28" customHeight="1">
      <x:c r="A339" s="16" t="str">
        <x:v>Томь-Усинская ГРЭС</x:v>
      </x:c>
      <x:c r="B339" s="16" t="str">
        <x:v>5000060350-U111</x:v>
      </x:c>
      <x:c r="C339" s="16" t="str">
        <x:v>РАЦИЯ BAOFENG BF-888S</x:v>
      </x:c>
      <x:c r="D339" s="16" t="str">
        <x:v>Оборудование радиосвязи</x:v>
      </x:c>
      <x:c r="E339" s="16" t="str">
        <x:v>ШТ</x:v>
      </x:c>
      <x:c r="F339" s="21" t="n">
        <x:v>10</x:v>
      </x:c>
      <x:c r="G339" s="17" t="n">
        <x:v>1525</x:v>
      </x:c>
      <x:c r="H339" s="17" t="n">
        <x:f>G339*F339</x:f>
        <x:v>15250</x:v>
      </x:c>
      <x:c r="I339" s="22" t="str">
        <x:f>HYPERLINK("https://etp-aktiv.ru/catalog/materialy/komplektuyushchie-i-zapasnye-chasti-k-kompyuternomu-i-ofisnomu-oborudovaniyu/5000060350-U111/","Открыть позицию")</x:f>
        <x:v>Открыть позицию</x:v>
      </x:c>
    </x:row>
    <x:row r="340" ht="28" customHeight="1">
      <x:c r="A340" s="16" t="str">
        <x:v>Томь-Усинская ГРЭС</x:v>
      </x:c>
      <x:c r="B340" s="16" t="str">
        <x:v>2000536239-U111</x:v>
      </x:c>
      <x:c r="C340" s="16" t="str">
        <x:v>РУБИЛЬНИК РПЦ-10 УХЛ3 1000А</x:v>
      </x:c>
      <x:c r="D340" s="16" t="str">
        <x:v>Низковольтная аппаратура и запасные части</x:v>
      </x:c>
      <x:c r="E340" s="16" t="str">
        <x:v>ШТ</x:v>
      </x:c>
      <x:c r="F340" s="21" t="n">
        <x:v>1</x:v>
      </x:c>
      <x:c r="G340" s="17" t="n">
        <x:v>9948.795</x:v>
      </x:c>
      <x:c r="H340" s="17" t="n">
        <x:f>G340*F340</x:f>
        <x:v>9948.795</x:v>
      </x:c>
      <x:c r="I340" s="22" t="str">
        <x:f>HYPERLINK("https://etp-aktiv.ru/catalog/materialy/nizkovoltnaya-apparatura-i-zapasnye-chasti/2000536239-U111/","Открыть позицию")</x:f>
        <x:v>Открыть позицию</x:v>
      </x:c>
    </x:row>
    <x:row r="341" ht="28" customHeight="1">
      <x:c r="A341" s="16" t="str">
        <x:v>Томь-Усинская ГРЭС</x:v>
      </x:c>
      <x:c r="B341" s="16" t="str">
        <x:v>2000650767-U111</x:v>
      </x:c>
      <x:c r="C341" s="16" t="str">
        <x:v>СВЕТИЛЬНИК ПЕРЕНОСНОЙ ЛСУ-1 ПВС 15М Е27</x:v>
      </x:c>
      <x:c r="D341" s="16" t="str">
        <x:v>Осветительная продукция и изделия электроустановочные</x:v>
      </x:c>
      <x:c r="E341" s="16" t="str">
        <x:v>ШТ</x:v>
      </x:c>
      <x:c r="F341" s="21" t="n">
        <x:v>1</x:v>
      </x:c>
      <x:c r="G341" s="17" t="n">
        <x:v>695.0096</x:v>
      </x:c>
      <x:c r="H341" s="17" t="n">
        <x:f>G341*F341</x:f>
        <x:v>695.0096</x:v>
      </x:c>
      <x:c r="I341" s="22" t="str">
        <x:f>HYPERLINK("https://etp-aktiv.ru/catalog/materialy/ehlektrotekhnicheskie-materialy/2000650767-U111/","Открыть позицию")</x:f>
        <x:v>Открыть позицию</x:v>
      </x:c>
    </x:row>
    <x:row r="342" ht="28" customHeight="1">
      <x:c r="A342" s="16" t="str">
        <x:v>Томь-Усинская ГРЭС</x:v>
      </x:c>
      <x:c r="B342" s="16" t="str">
        <x:v>2000337559-U111</x:v>
      </x:c>
      <x:c r="C342" s="16" t="str">
        <x:v>СВЕТИЛЬНИК ПЕРЕНОСНОЙ НРБ-01-60-003 220В</x:v>
      </x:c>
      <x:c r="D342" s="16" t="str">
        <x:v>Осветительная продукция и изделия электроустановочные</x:v>
      </x:c>
      <x:c r="E342" s="16" t="str">
        <x:v>ШТ</x:v>
      </x:c>
      <x:c r="F342" s="21" t="n">
        <x:v>11</x:v>
      </x:c>
      <x:c r="G342" s="17" t="n">
        <x:v>542.4364</x:v>
      </x:c>
      <x:c r="H342" s="17" t="n">
        <x:f>G342*F342</x:f>
        <x:v>5966.8004</x:v>
      </x:c>
      <x:c r="I342" s="22" t="str">
        <x:f>HYPERLINK("https://etp-aktiv.ru/catalog/materialy/ehlektrotekhnicheskie-materialy/2000337559-U111/","Открыть позицию")</x:f>
        <x:v>Открыть позицию</x:v>
      </x:c>
    </x:row>
    <x:row r="343" ht="28" customHeight="1">
      <x:c r="A343" s="16" t="str">
        <x:v>Томь-Усинская ГРЭС</x:v>
      </x:c>
      <x:c r="B343" s="16" t="str">
        <x:v>2000313444-U111</x:v>
      </x:c>
      <x:c r="C343" s="16" t="str">
        <x:v>СЕКУНДОМЕР ПЛАСТИКОВЫЙ JS306 010467 6РАЗ</x:v>
      </x:c>
      <x:c r="D343" s="16" t="str">
        <x:v>Запасные части и принадлежности для приборов КИПиА</x:v>
      </x:c>
      <x:c r="E343" s="16" t="str">
        <x:v>ШТ</x:v>
      </x:c>
      <x:c r="F343" s="21" t="n">
        <x:v>2</x:v>
      </x:c>
      <x:c r="G343" s="17" t="n">
        <x:v>596.275</x:v>
      </x:c>
      <x:c r="H343" s="17" t="n">
        <x:f>G343*F343</x:f>
        <x:v>1192.55</x:v>
      </x:c>
      <x:c r="I343" s="22" t="str">
        <x:f>HYPERLINK("https://etp-aktiv.ru/catalog/materialy/zapasnye-chasti-i-prinadlezhnosti-dlya-priborov-kipia/2000313444-U111/","Открыть позицию")</x:f>
        <x:v>Открыть позицию</x:v>
      </x:c>
    </x:row>
    <x:row r="344" ht="28" customHeight="1">
      <x:c r="A344" s="16" t="str">
        <x:v>Томь-Усинская ГРЭС</x:v>
      </x:c>
      <x:c r="B344" s="16" t="str">
        <x:v>2000068822-U111</x:v>
      </x:c>
      <x:c r="C344" s="16" t="str">
        <x:v>СТЕРЖЕНЬ ФТОРОПЛАСТ ВЕРТ Ф-4 60ММ</x:v>
      </x:c>
      <x:c r="D344" s="16" t="str">
        <x:v>Электроизоляционные материалы</x:v>
      </x:c>
      <x:c r="E344" s="16" t="str">
        <x:v>КГ</x:v>
      </x:c>
      <x:c r="F344" s="30" t="n">
        <x:v>0.44</x:v>
      </x:c>
      <x:c r="G344" s="17" t="n">
        <x:v>595.177</x:v>
      </x:c>
      <x:c r="H344" s="17" t="n">
        <x:f>G344*F344</x:f>
        <x:v>261.87788</x:v>
      </x:c>
      <x:c r="I344" s="22" t="str">
        <x:f>HYPERLINK("https://etp-aktiv.ru/catalog/materialy/ehlektroizolyacionnye-materialy/2000068822-U111/","Открыть позицию")</x:f>
        <x:v>Открыть позицию</x:v>
      </x:c>
    </x:row>
    <x:row r="345" ht="28" customHeight="1">
      <x:c r="A345" s="16" t="str">
        <x:v>Томь-Усинская ГРЭС</x:v>
      </x:c>
      <x:c r="B345" s="16" t="str">
        <x:v>2000548631-U111</x:v>
      </x:c>
      <x:c r="C345" s="16" t="str">
        <x:v>СТЕРЖЕНЬ ФТОРОПЛАСТ Ф-4 50*1000ММ</x:v>
      </x:c>
      <x:c r="D345" s="16" t="str">
        <x:v>Электроизоляционные материалы</x:v>
      </x:c>
      <x:c r="E345" s="16" t="str">
        <x:v>КГ</x:v>
      </x:c>
      <x:c r="F345" s="29" t="n">
        <x:v>3.3</x:v>
      </x:c>
      <x:c r="G345" s="17" t="n">
        <x:v>712.3702</x:v>
      </x:c>
      <x:c r="H345" s="17" t="n">
        <x:f>G345*F345</x:f>
        <x:v>2350.8216599999996</x:v>
      </x:c>
      <x:c r="I345" s="22" t="str">
        <x:f>HYPERLINK("https://etp-aktiv.ru/catalog/materialy/ehlektroizolyacionnye-materialy/2000548631-U111/","Открыть позицию")</x:f>
        <x:v>Открыть позицию</x:v>
      </x:c>
    </x:row>
    <x:row r="346" ht="28" customHeight="1">
      <x:c r="A346" s="16" t="str">
        <x:v>Томь-Усинская ГРЭС</x:v>
      </x:c>
      <x:c r="B346" s="16" t="str">
        <x:v>2000574478-U111</x:v>
      </x:c>
      <x:c r="C346" s="16" t="str">
        <x:v>ТРАНСФОРМАТОР ТОКА ТШП-0,66-20/5 КЛ3</x:v>
      </x:c>
      <x:c r="D346" s="16" t="str">
        <x:v>Трансформаторы измерительные</x:v>
      </x:c>
      <x:c r="E346" s="16" t="str">
        <x:v>ШТ</x:v>
      </x:c>
      <x:c r="F346" s="21" t="n">
        <x:v>7</x:v>
      </x:c>
      <x:c r="G346" s="17" t="n">
        <x:v>380.15200000000004</x:v>
      </x:c>
      <x:c r="H346" s="17" t="n">
        <x:f>G346*F346</x:f>
        <x:v>2661.0640000000003</x:v>
      </x:c>
      <x:c r="I346" s="22" t="str">
        <x:f>HYPERLINK("https://etp-aktiv.ru/catalog/materialy/ehlektrotekhnicheskie-materialy/2000574478-U111/","Открыть позицию")</x:f>
        <x:v>Открыть позицию</x:v>
      </x:c>
    </x:row>
    <x:row r="347" ht="28" customHeight="1">
      <x:c r="A347" s="16" t="str">
        <x:v>Томь-Усинская ГРЭС</x:v>
      </x:c>
      <x:c r="B347" s="16" t="str">
        <x:v>2000238177-U111</x:v>
      </x:c>
      <x:c r="C347" s="16" t="str">
        <x:v>ФОНАРЬ АККУМУЛ ФОТОН PB-0318 YEL 18LED</x:v>
      </x:c>
      <x:c r="D347" s="16" t="str">
        <x:v>Осветительная продукция и изделия электроустановочные</x:v>
      </x:c>
      <x:c r="E347" s="16" t="str">
        <x:v>ШТ</x:v>
      </x:c>
      <x:c r="F347" s="21" t="n">
        <x:v>4</x:v>
      </x:c>
      <x:c r="G347" s="17" t="n">
        <x:v>373.32</x:v>
      </x:c>
      <x:c r="H347" s="17" t="n">
        <x:f>G347*F347</x:f>
        <x:v>1493.28</x:v>
      </x:c>
      <x:c r="I347" s="22" t="str">
        <x:f>HYPERLINK("https://etp-aktiv.ru/catalog/materialy/ehlektrotekhnicheskie-materialy/2000238177-U111/","Открыть позицию")</x:f>
        <x:v>Открыть позицию</x:v>
      </x:c>
    </x:row>
    <x:row r="348" ht="28" customHeight="1">
      <x:c r="A348" s="16" t="str">
        <x:v>Томь-Усинская ГРЭС</x:v>
      </x:c>
      <x:c r="B348" s="16" t="str">
        <x:v>2000545675-U111</x:v>
      </x:c>
      <x:c r="C348" s="16" t="str">
        <x:v>ФОНАРЬ КОС860LED</x:v>
      </x:c>
      <x:c r="D348" s="16" t="str">
        <x:v>Осветительная продукция и изделия электроустановочные</x:v>
      </x:c>
      <x:c r="E348" s="16" t="str">
        <x:v>ШТ</x:v>
      </x:c>
      <x:c r="F348" s="21" t="n">
        <x:v>122</x:v>
      </x:c>
      <x:c r="G348" s="17" t="n">
        <x:v>5.9902</x:v>
      </x:c>
      <x:c r="H348" s="17" t="n">
        <x:f>G348*F348</x:f>
        <x:v>730.8044</x:v>
      </x:c>
      <x:c r="I348" s="22" t="str">
        <x:f>HYPERLINK("https://etp-aktiv.ru/catalog/materialy/ehlektrotekhnicheskie-materialy/2000545675-U111/","Открыть позицию")</x:f>
        <x:v>Открыть позицию</x:v>
      </x:c>
    </x:row>
    <x:row r="349" ht="28" customHeight="1">
      <x:c r="A349" s="16" t="str">
        <x:v>Томь-Усинская ГРЭС</x:v>
      </x:c>
      <x:c r="B349" s="16" t="str">
        <x:v>2000545741-U111</x:v>
      </x:c>
      <x:c r="C349" s="16" t="str">
        <x:v>ФОНАРЬ НАЛОБНЫЙ СВЕТОДИОДНЫЙ XG-8102</x:v>
      </x:c>
      <x:c r="D349" s="16" t="str">
        <x:v>Осветительная продукция и изделия электроустановочные</x:v>
      </x:c>
      <x:c r="E349" s="16" t="str">
        <x:v>ШТ</x:v>
      </x:c>
      <x:c r="F349" s="21" t="n">
        <x:v>21</x:v>
      </x:c>
      <x:c r="G349" s="17" t="n">
        <x:v>250.11219999999997</x:v>
      </x:c>
      <x:c r="H349" s="17" t="n">
        <x:f>G349*F349</x:f>
        <x:v>5252.356199999999</x:v>
      </x:c>
      <x:c r="I349" s="22" t="str">
        <x:f>HYPERLINK("https://etp-aktiv.ru/catalog/materialy/ehlektrotekhnicheskie-materialy/2000545741-U111/","Открыть позицию")</x:f>
        <x:v>Открыть позицию</x:v>
      </x:c>
    </x:row>
    <x:row r="350" ht="28" customHeight="1">
      <x:c r="A350" s="16" t="str">
        <x:v>Томь-Усинская ГРЭС</x:v>
      </x:c>
      <x:c r="B350" s="16" t="str">
        <x:v>2000548740-U111</x:v>
      </x:c>
      <x:c r="C350" s="16" t="str">
        <x:v>ШНУР-ЧУЛОК ХБ 1ММ ТУ8153-001-00214936</x:v>
      </x:c>
      <x:c r="D350" s="16" t="str">
        <x:v>Электроизоляционные материалы</x:v>
      </x:c>
      <x:c r="E350" s="16" t="str">
        <x:v>М</x:v>
      </x:c>
      <x:c r="F350" s="21" t="n">
        <x:v>400</x:v>
      </x:c>
      <x:c r="G350" s="17" t="n">
        <x:v>1.4884</x:v>
      </x:c>
      <x:c r="H350" s="17" t="n">
        <x:f>G350*F350</x:f>
        <x:v>595.36</x:v>
      </x:c>
      <x:c r="I350" s="22" t="str">
        <x:f>HYPERLINK("https://etp-aktiv.ru/catalog/materialy/ehlektroizolyacionnye-materialy/2000548740-U111/","Открыть позицию")</x:f>
        <x:v>Открыть позицию</x:v>
      </x:c>
    </x:row>
    <x:row r="351" ht="28" customHeight="1">
      <x:c r="A351" s="16" t="str">
        <x:v>Томь-Усинская ГРЭС</x:v>
      </x:c>
      <x:c r="B351" s="16" t="str">
        <x:v>2000046876-U111</x:v>
      </x:c>
      <x:c r="C351" s="16" t="str">
        <x:v>ЭЛЕКТРОКАРТОН ЭВ 0,3ММ</x:v>
      </x:c>
      <x:c r="D351" s="16" t="str">
        <x:v>Электроизоляционные материалы</x:v>
      </x:c>
      <x:c r="E351" s="16" t="str">
        <x:v>КГ</x:v>
      </x:c>
      <x:c r="F351" s="21" t="n">
        <x:v>5</x:v>
      </x:c>
      <x:c r="G351" s="17" t="n">
        <x:v>190.0028</x:v>
      </x:c>
      <x:c r="H351" s="17" t="n">
        <x:f>G351*F351</x:f>
        <x:v>950.014</x:v>
      </x:c>
      <x:c r="I351" s="22" t="str">
        <x:f>HYPERLINK("https://etp-aktiv.ru/catalog/materialy/ehlektroizolyacionnye-materialy/2000046876-U111/","Открыть позицию")</x:f>
        <x:v>Открыть позицию</x:v>
      </x:c>
    </x:row>
    <x:row r="352" ht="28" customHeight="1">
      <x:c r="A352" s="16" t="str">
        <x:v>Томь-Усинская ГРЭС</x:v>
      </x:c>
      <x:c r="B352" s="16" t="str">
        <x:v>2000224101-U111</x:v>
      </x:c>
      <x:c r="C352" s="16" t="str">
        <x:v>ЭЛЕМЕНТ ВЫКАТНОЙ ВЭ/TEL-10-20/630</x:v>
      </x:c>
      <x:c r="D352" s="16" t="str">
        <x:v>Запасные части к высоковольтному оборудованию</x:v>
      </x:c>
      <x:c r="E352" s="16" t="str">
        <x:v>ШТ</x:v>
      </x:c>
      <x:c r="F352" s="21" t="n">
        <x:v>3</x:v>
      </x:c>
      <x:c r="G352" s="17" t="n">
        <x:v>596970.4</x:v>
      </x:c>
      <x:c r="H352" s="17" t="n">
        <x:f>G352*F352</x:f>
        <x:v>1790911.2000000002</x:v>
      </x:c>
      <x:c r="I352" s="22" t="str">
        <x:f>HYPERLINK("https://etp-aktiv.ru/catalog/materialy/ehlektrotekhnicheskie-materialy/2000224101-U111/","Открыть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e8ebf4ffc47d4da5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МРО, механическое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2000253996-U112</x:v>
      </x:c>
      <x:c r="C5" s="16" t="str">
        <x:v>БАРАБАН БП 1250-1200-2100-3656.01.000</x:v>
      </x:c>
      <x:c r="D5" s="16" t="str">
        <x:v>Запасные части к ленточным конвейерам и перегружателям</x:v>
      </x:c>
      <x:c r="E5" s="16" t="str">
        <x:v>ШТ</x:v>
      </x:c>
      <x:c r="F5" s="21" t="n">
        <x:v>1</x:v>
      </x:c>
      <x:c r="G5" s="17" t="n">
        <x:v>702567.5</x:v>
      </x:c>
      <x:c r="H5" s="17" t="n">
        <x:f>G5*F5</x:f>
        <x:v>702567.5</x:v>
      </x:c>
      <x:c r="I5" s="22" t="str">
        <x:f>HYPERLINK("https://etp-aktiv.ru/catalog/materialy/zapasnye-chasti-k-gorno-shahtnomu-oborudovaniyu/2000253996-U112/","Открыть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2000254652-U112</x:v>
      </x:c>
      <x:c r="C6" s="16" t="str">
        <x:v>БАРАБАН ОТКЛОНЯЮЩИЙ 14063-60 МН 4344-63</x:v>
      </x:c>
      <x:c r="D6" s="16" t="str">
        <x:v>Запасные части к конвейерам поверхностным</x:v>
      </x:c>
      <x:c r="E6" s="16" t="str">
        <x:v>ШТ</x:v>
      </x:c>
      <x:c r="F6" s="21" t="n">
        <x:v>1</x:v>
      </x:c>
      <x:c r="G6" s="17" t="n">
        <x:v>126016.97200000001</x:v>
      </x:c>
      <x:c r="H6" s="17" t="n">
        <x:f>G6*F6</x:f>
        <x:v>126016.97200000001</x:v>
      </x:c>
      <x:c r="I6" s="22" t="str">
        <x:f>HYPERLINK("https://etp-aktiv.ru/catalog/materialy/zapasnye-chasti-k-drobilno-sortirovochnomu-oborudovaniyu/2000254652-U112/","Открыть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2000000321-U112</x:v>
      </x:c>
      <x:c r="C7" s="16" t="str">
        <x:v>КАНАТ 4,1 ГВН 1770 ГОСТ2688-80</x:v>
      </x:c>
      <x:c r="D7" s="16" t="str">
        <x:v>Канаты стальные</x:v>
      </x:c>
      <x:c r="E7" s="16" t="str">
        <x:v>М</x:v>
      </x:c>
      <x:c r="F7" s="21" t="n">
        <x:v>524</x:v>
      </x:c>
      <x:c r="G7" s="17" t="n">
        <x:v>29.9998</x:v>
      </x:c>
      <x:c r="H7" s="17" t="n">
        <x:f>G7*F7</x:f>
        <x:v>15719.8952</x:v>
      </x:c>
      <x:c r="I7" s="22" t="str">
        <x:f>HYPERLINK("https://etp-aktiv.ru/catalog/materialy/metizy/2000000321-U112/","Открыть позицию")</x:f>
        <x:v>Открыть позицию</x:v>
      </x:c>
    </x:row>
    <x:row r="8" ht="28" customHeight="1">
      <x:c r="A8" s="16" t="str">
        <x:v>Беловская ГРЭС</x:v>
      </x:c>
      <x:c r="B8" s="16" t="str">
        <x:v>2000446769-U112</x:v>
      </x:c>
      <x:c r="C8" s="16" t="str">
        <x:v>КМП КОЛЕЦ 1843106</x:v>
      </x:c>
      <x:c r="D8" s="16" t="str">
        <x:v>Запасные части к грузоподъемной технике, оборудованию и меха</x:v>
      </x:c>
      <x:c r="E8" s="16" t="str">
        <x:v>ШТ</x:v>
      </x:c>
      <x:c r="F8" s="21" t="n">
        <x:v>60</x:v>
      </x:c>
      <x:c r="G8" s="17" t="n">
        <x:v>131.9308</x:v>
      </x:c>
      <x:c r="H8" s="17" t="n">
        <x:f>G8*F8</x:f>
        <x:v>7915.848</x:v>
      </x:c>
      <x:c r="I8" s="22" t="str">
        <x:f>HYPERLINK("https://etp-aktiv.ru/catalog/materialy/zapasnye-chasti-k-gruzopodemnoj-tekhnike-oborudovaniyu-i-mekhanizmam/2000446769-U112/","Открыть позицию")</x:f>
        <x:v>Открыть позицию</x:v>
      </x:c>
    </x:row>
    <x:row r="9" ht="28" customHeight="1">
      <x:c r="A9" s="16" t="str">
        <x:v>Беловская ГРЭС</x:v>
      </x:c>
      <x:c r="B9" s="16" t="str">
        <x:v>2000784138-U112</x:v>
      </x:c>
      <x:c r="C9" s="16" t="str">
        <x:v>КОЛЕСО РАБ 1Д1250/63 Н03.3.327.15.01.001</x:v>
      </x:c>
      <x:c r="D9" s="16" t="str">
        <x:v>Запасные части к энергетическим насосам</x:v>
      </x:c>
      <x:c r="E9" s="16" t="str">
        <x:v>ШТ</x:v>
      </x:c>
      <x:c r="F9" s="21" t="n">
        <x:v>1</x:v>
      </x:c>
      <x:c r="G9" s="17" t="n">
        <x:v>59475</x:v>
      </x:c>
      <x:c r="H9" s="17" t="n">
        <x:f>G9*F9</x:f>
        <x:v>59475</x:v>
      </x:c>
      <x:c r="I9" s="22" t="str">
        <x:f>HYPERLINK("https://etp-aktiv.ru/catalog/materialy/zapasnye-chasti-promyshlennogo-oborudovaniya/2000784138-U112/","Открыть позицию")</x:f>
        <x:v>Открыть позицию</x:v>
      </x:c>
    </x:row>
    <x:row r="10" ht="28" customHeight="1">
      <x:c r="A10" s="16" t="str">
        <x:v>Беловская ГРЭС</x:v>
      </x:c>
      <x:c r="B10" s="16" t="str">
        <x:v>2000534164-U112</x:v>
      </x:c>
      <x:c r="C10" s="16" t="str">
        <x:v>КОЛЬЦО УПЛОТНИТЕЛЬНОЕ Г-14049 КС/КСВ/КСД</x:v>
      </x:c>
      <x:c r="D10" s="16" t="str">
        <x:v>Запасные части к энергетическим насосам</x:v>
      </x:c>
      <x:c r="E10" s="16" t="str">
        <x:v>ШТ</x:v>
      </x:c>
      <x:c r="F10" s="21" t="n">
        <x:v>1</x:v>
      </x:c>
      <x:c r="G10" s="17" t="n">
        <x:v>19215</x:v>
      </x:c>
      <x:c r="H10" s="17" t="n">
        <x:f>G10*F10</x:f>
        <x:v>19215</x:v>
      </x:c>
      <x:c r="I10" s="22" t="str">
        <x:f>HYPERLINK("https://etp-aktiv.ru/catalog/materialy/zapasnye-chasti-promyshlennogo-oborudovaniya/2000534164-U112/","Открыть позицию")</x:f>
        <x:v>Открыть позицию</x:v>
      </x:c>
    </x:row>
    <x:row r="11" ht="28" customHeight="1">
      <x:c r="A11" s="16" t="str">
        <x:v>Беловская ГРЭС</x:v>
      </x:c>
      <x:c r="B11" s="16" t="str">
        <x:v>2000590096-U112</x:v>
      </x:c>
      <x:c r="C11" s="16" t="str">
        <x:v>КОМПРЕССОР ASPERA NEK6212Z</x:v>
      </x:c>
      <x:c r="D11" s="16" t="str">
        <x:v>Комплектующие к бытовым кондиционерам, сплит-системам</x:v>
      </x:c>
      <x:c r="E11" s="16" t="str">
        <x:v>ШТ</x:v>
      </x:c>
      <x:c r="F11" s="21" t="n">
        <x:v>1</x:v>
      </x:c>
      <x:c r="G11" s="17" t="n">
        <x:v>9106.0312</x:v>
      </x:c>
      <x:c r="H11" s="17" t="n">
        <x:f>G11*F11</x:f>
        <x:v>9106.0312</x:v>
      </x:c>
      <x:c r="I11" s="22" t="str">
        <x:f>HYPERLINK("https://etp-aktiv.ru/catalog/materialy/prochie-materialy/2000590096-U112/","Открыть позицию")</x:f>
        <x:v>Открыть позицию</x:v>
      </x:c>
    </x:row>
    <x:row r="12" ht="28" customHeight="1">
      <x:c r="A12" s="16" t="str">
        <x:v>Беловская ГРЭС</x:v>
      </x:c>
      <x:c r="B12" s="16" t="str">
        <x:v>2000552422-U112</x:v>
      </x:c>
      <x:c r="C12" s="16" t="str">
        <x:v>КРЕСТОВИНА ВКЛАДЫШ Т-Т-45</x:v>
      </x:c>
      <x:c r="D12" s="16" t="str">
        <x:v>Запасные части к конвейерам поверхностным</x:v>
      </x:c>
      <x:c r="E12" s="16" t="str">
        <x:v>ШТ</x:v>
      </x:c>
      <x:c r="F12" s="21" t="n">
        <x:v>6</x:v>
      </x:c>
      <x:c r="G12" s="17" t="n">
        <x:v>44881.1404</x:v>
      </x:c>
      <x:c r="H12" s="17" t="n">
        <x:f>G12*F12</x:f>
        <x:v>269286.84239999996</x:v>
      </x:c>
      <x:c r="I12" s="22" t="str">
        <x:f>HYPERLINK("https://etp-aktiv.ru/catalog/materialy/zapasnye-chasti-k-drobilno-sortirovochnomu-oborudovaniyu/2000552422-U112/","Открыть позицию")</x:f>
        <x:v>Открыть позицию</x:v>
      </x:c>
    </x:row>
    <x:row r="13" ht="28" customHeight="1">
      <x:c r="A13" s="16" t="str">
        <x:v>Беловская ГРЭС</x:v>
      </x:c>
      <x:c r="B13" s="16" t="str">
        <x:v>2001003804-U112</x:v>
      </x:c>
      <x:c r="C13" s="16" t="str">
        <x:v>КРУГ 1 300*25*76,2 25А F60 K 6 V 50М/С</x:v>
      </x:c>
      <x:c r="D13" s="16" t="str">
        <x:v>Инструмент и спецоснастка</x:v>
      </x:c>
      <x:c r="E13" s="16" t="str">
        <x:v>ШТ</x:v>
      </x:c>
      <x:c r="F13" s="21" t="n">
        <x:v>3</x:v>
      </x:c>
      <x:c r="G13" s="17" t="n">
        <x:v>1017.3214</x:v>
      </x:c>
      <x:c r="H13" s="17" t="n">
        <x:f>G13*F13</x:f>
        <x:v>3051.9642000000003</x:v>
      </x:c>
      <x:c r="I13" s="22" t="str">
        <x:f>HYPERLINK("https://etp-aktiv.ru/catalog/materialy/instrument-i-specosnastka/2001003804-U112/","Открыть позицию")</x:f>
        <x:v>Открыть позицию</x:v>
      </x:c>
    </x:row>
    <x:row r="14" ht="28" customHeight="1">
      <x:c r="A14" s="16" t="str">
        <x:v>Беловская ГРЭС</x:v>
      </x:c>
      <x:c r="B14" s="16" t="str">
        <x:v>2000454519-U112</x:v>
      </x:c>
      <x:c r="C14" s="16" t="str">
        <x:v>КРУГ АБРАЗИВНЫЙ 200*20*16 А60</x:v>
      </x:c>
      <x:c r="D14" s="16" t="str">
        <x:v>Инструмент и спецоснастка</x:v>
      </x:c>
      <x:c r="E14" s="16" t="str">
        <x:v>ШТ</x:v>
      </x:c>
      <x:c r="F14" s="21" t="n">
        <x:v>1</x:v>
      </x:c>
      <x:c r="G14" s="17" t="n">
        <x:v>327.81399999999996</x:v>
      </x:c>
      <x:c r="H14" s="17" t="n">
        <x:f>G14*F14</x:f>
        <x:v>327.81399999999996</x:v>
      </x:c>
      <x:c r="I14" s="22" t="str">
        <x:f>HYPERLINK("https://etp-aktiv.ru/catalog/materialy/instrument-i-specosnastka/2000454519-U112/","Открыть позицию")</x:f>
        <x:v>Открыть позицию</x:v>
      </x:c>
    </x:row>
    <x:row r="15" ht="28" customHeight="1">
      <x:c r="A15" s="16" t="str">
        <x:v>Беловская ГРЭС</x:v>
      </x:c>
      <x:c r="B15" s="16" t="str">
        <x:v>2000219131-U112</x:v>
      </x:c>
      <x:c r="C15" s="16" t="str">
        <x:v>КРУГ ВУЛКАНИТОВ 14А20НВ 6ГМ1 200*20*32</x:v>
      </x:c>
      <x:c r="D15" s="16" t="str">
        <x:v>Инструмент и спецоснастка</x:v>
      </x:c>
      <x:c r="E15" s="16" t="str">
        <x:v>ШТ</x:v>
      </x:c>
      <x:c r="F15" s="21" t="n">
        <x:v>1</x:v>
      </x:c>
      <x:c r="G15" s="17" t="n">
        <x:v>301.6816</x:v>
      </x:c>
      <x:c r="H15" s="17" t="n">
        <x:f>G15*F15</x:f>
        <x:v>301.6816</x:v>
      </x:c>
      <x:c r="I15" s="22" t="str">
        <x:f>HYPERLINK("https://etp-aktiv.ru/catalog/materialy/instrument-i-specosnastka/2000219131-U112/","Открыть позицию")</x:f>
        <x:v>Открыть позицию</x:v>
      </x:c>
    </x:row>
    <x:row r="16" ht="28" customHeight="1">
      <x:c r="A16" s="16" t="str">
        <x:v>Беловская ГРЭС</x:v>
      </x:c>
      <x:c r="B16" s="16" t="str">
        <x:v>2000544232-U112</x:v>
      </x:c>
      <x:c r="C16" s="16" t="str">
        <x:v>КРУГ ОБДИРОЧНЫЙ 125*25*32 ПП 24А 25ПС</x:v>
      </x:c>
      <x:c r="D16" s="16" t="str">
        <x:v>Инструмент и спецоснастка</x:v>
      </x:c>
      <x:c r="E16" s="16" t="str">
        <x:v>ШТ</x:v>
      </x:c>
      <x:c r="F16" s="21" t="n">
        <x:v>42</x:v>
      </x:c>
      <x:c r="G16" s="17" t="n">
        <x:v>190.0028</x:v>
      </x:c>
      <x:c r="H16" s="17" t="n">
        <x:f>G16*F16</x:f>
        <x:v>7980.1176000000005</x:v>
      </x:c>
      <x:c r="I16" s="22" t="str">
        <x:f>HYPERLINK("https://etp-aktiv.ru/catalog/materialy/instrument-i-specosnastka/2000544232-U112/","Открыть позицию")</x:f>
        <x:v>Открыть позицию</x:v>
      </x:c>
    </x:row>
    <x:row r="17" ht="28" customHeight="1">
      <x:c r="A17" s="16" t="str">
        <x:v>Беловская ГРЭС</x:v>
      </x:c>
      <x:c r="B17" s="16" t="str">
        <x:v>2000544080-U112</x:v>
      </x:c>
      <x:c r="C17" s="16" t="str">
        <x:v>КРУГ ОТР 41 115*1,6*22.23 А40 S BF</x:v>
      </x:c>
      <x:c r="D17" s="16" t="str">
        <x:v>Инструмент и спецоснастка</x:v>
      </x:c>
      <x:c r="E17" s="16" t="str">
        <x:v>ШТ</x:v>
      </x:c>
      <x:c r="F17" s="21" t="n">
        <x:v>10</x:v>
      </x:c>
      <x:c r="G17" s="17" t="n">
        <x:v>13.1028</x:v>
      </x:c>
      <x:c r="H17" s="17" t="n">
        <x:f>G17*F17</x:f>
        <x:v>131.028</x:v>
      </x:c>
      <x:c r="I17" s="22" t="str">
        <x:f>HYPERLINK("https://etp-aktiv.ru/catalog/materialy/instrument-i-specosnastka/2000544080-U112/","Открыть позицию")</x:f>
        <x:v>Открыть позицию</x:v>
      </x:c>
    </x:row>
    <x:row r="18" ht="28" customHeight="1">
      <x:c r="A18" s="16" t="str">
        <x:v>Беловская ГРЭС</x:v>
      </x:c>
      <x:c r="B18" s="16" t="str">
        <x:v>2000544081-U112</x:v>
      </x:c>
      <x:c r="C18" s="16" t="str">
        <x:v>КРУГ ОТР 41 115*2,5*22.23 А30 S BF</x:v>
      </x:c>
      <x:c r="D18" s="16" t="str">
        <x:v>Инструмент и спецоснастка</x:v>
      </x:c>
      <x:c r="E18" s="16" t="str">
        <x:v>ШТ</x:v>
      </x:c>
      <x:c r="F18" s="21" t="n">
        <x:v>1</x:v>
      </x:c>
      <x:c r="G18" s="17" t="n">
        <x:v>17.08</x:v>
      </x:c>
      <x:c r="H18" s="17" t="n">
        <x:f>G18*F18</x:f>
        <x:v>17.08</x:v>
      </x:c>
      <x:c r="I18" s="22" t="str">
        <x:f>HYPERLINK("https://etp-aktiv.ru/catalog/materialy/instrument-i-specosnastka/2000544081-U112/","Открыть позицию")</x:f>
        <x:v>Открыть позицию</x:v>
      </x:c>
    </x:row>
    <x:row r="19" ht="28" customHeight="1">
      <x:c r="A19" s="16" t="str">
        <x:v>Беловская ГРЭС</x:v>
      </x:c>
      <x:c r="B19" s="16" t="str">
        <x:v>2000544055-U112</x:v>
      </x:c>
      <x:c r="C19" s="16" t="str">
        <x:v>КРУГ ШЛ 1 63*32*20 25А F40 C2 K6 50М/С</x:v>
      </x:c>
      <x:c r="D19" s="16" t="str">
        <x:v>Инструмент и спецоснастка</x:v>
      </x:c>
      <x:c r="E19" s="16" t="str">
        <x:v>ШТ</x:v>
      </x:c>
      <x:c r="F19" s="21" t="n">
        <x:v>85</x:v>
      </x:c>
      <x:c r="G19" s="17" t="n">
        <x:v>130.0032</x:v>
      </x:c>
      <x:c r="H19" s="17" t="n">
        <x:f>G19*F19</x:f>
        <x:v>11050.271999999999</x:v>
      </x:c>
      <x:c r="I19" s="22" t="str">
        <x:f>HYPERLINK("https://etp-aktiv.ru/catalog/materialy/instrument-i-specosnastka/2000544055-U112/","Открыть позицию")</x:f>
        <x:v>Открыть позицию</x:v>
      </x:c>
    </x:row>
    <x:row r="20" ht="28" customHeight="1">
      <x:c r="A20" s="16" t="str">
        <x:v>Беловская ГРЭС</x:v>
      </x:c>
      <x:c r="B20" s="16" t="str">
        <x:v>2000544143-U112</x:v>
      </x:c>
      <x:c r="C20" s="16" t="str">
        <x:v>КРУГ ШЛИФОВАЛЬНЫЙ 1 50*20*20 25А 60 P</x:v>
      </x:c>
      <x:c r="D20" s="16" t="str">
        <x:v>Инструмент и спецоснастка</x:v>
      </x:c>
      <x:c r="E20" s="16" t="str">
        <x:v>ШТ</x:v>
      </x:c>
      <x:c r="F20" s="21" t="n">
        <x:v>6</x:v>
      </x:c>
      <x:c r="G20" s="17" t="n">
        <x:v>41.7362</x:v>
      </x:c>
      <x:c r="H20" s="17" t="n">
        <x:f>G20*F20</x:f>
        <x:v>250.41719999999998</x:v>
      </x:c>
      <x:c r="I20" s="22" t="str">
        <x:f>HYPERLINK("https://etp-aktiv.ru/catalog/materialy/instrument-i-specosnastka/2000544143-U112/","Открыть позицию")</x:f>
        <x:v>Открыть позицию</x:v>
      </x:c>
    </x:row>
    <x:row r="21" ht="28" customHeight="1">
      <x:c r="A21" s="16" t="str">
        <x:v>Беловская ГРЭС</x:v>
      </x:c>
      <x:c r="B21" s="16" t="str">
        <x:v>2000544268-U112</x:v>
      </x:c>
      <x:c r="C21" s="16" t="str">
        <x:v>КРУГ ШЛИФОВАЛЬНЫЙ 150*20*32 64С F36 М2</x:v>
      </x:c>
      <x:c r="D21" s="16" t="str">
        <x:v>Инструмент и спецоснастка</x:v>
      </x:c>
      <x:c r="E21" s="16" t="str">
        <x:v>ШТ</x:v>
      </x:c>
      <x:c r="F21" s="21" t="n">
        <x:v>4</x:v>
      </x:c>
      <x:c r="G21" s="17" t="n">
        <x:v>239.27859999999998</x:v>
      </x:c>
      <x:c r="H21" s="17" t="n">
        <x:f>G21*F21</x:f>
        <x:v>957.1143999999999</x:v>
      </x:c>
      <x:c r="I21" s="22" t="str">
        <x:f>HYPERLINK("https://etp-aktiv.ru/catalog/materialy/instrument-i-specosnastka/2000544268-U112/","Открыть позицию")</x:f>
        <x:v>Открыть позицию</x:v>
      </x:c>
    </x:row>
    <x:row r="22" ht="28" customHeight="1">
      <x:c r="A22" s="16" t="str">
        <x:v>Беловская ГРЭС</x:v>
      </x:c>
      <x:c r="B22" s="16" t="str">
        <x:v>2000544271-U112</x:v>
      </x:c>
      <x:c r="C22" s="16" t="str">
        <x:v>КРУГ ШЛИФОВАЛЬНЫЙ 180*6*22 14А 80 Т2</x:v>
      </x:c>
      <x:c r="D22" s="16" t="str">
        <x:v>Инструмент и спецоснастка</x:v>
      </x:c>
      <x:c r="E22" s="16" t="str">
        <x:v>ШТ</x:v>
      </x:c>
      <x:c r="F22" s="21" t="n">
        <x:v>1</x:v>
      </x:c>
      <x:c r="G22" s="17" t="n">
        <x:v>58.0598</x:v>
      </x:c>
      <x:c r="H22" s="17" t="n">
        <x:f>G22*F22</x:f>
        <x:v>58.0598</x:v>
      </x:c>
      <x:c r="I22" s="22" t="str">
        <x:f>HYPERLINK("https://etp-aktiv.ru/catalog/materialy/instrument-i-specosnastka/2000544271-U112/","Открыть позицию")</x:f>
        <x:v>Открыть позицию</x:v>
      </x:c>
    </x:row>
    <x:row r="23" ht="28" customHeight="1">
      <x:c r="A23" s="16" t="str">
        <x:v>Беловская ГРЭС</x:v>
      </x:c>
      <x:c r="B23" s="16" t="str">
        <x:v>2000560816-U112</x:v>
      </x:c>
      <x:c r="C23" s="16" t="str">
        <x:v>ЛЕНТА 2Ш 800-2 ТК200-2 4,5/3,5 ТРБ</x:v>
      </x:c>
      <x:c r="D23" s="16" t="str">
        <x:v>Лента транспортерная</x:v>
      </x:c>
      <x:c r="E23" s="16" t="str">
        <x:v>М2</x:v>
      </x:c>
      <x:c r="F23" s="29" t="n">
        <x:v>9.3</x:v>
      </x:c>
      <x:c r="G23" s="17" t="n">
        <x:v>2399.435</x:v>
      </x:c>
      <x:c r="H23" s="17" t="n">
        <x:f>G23*F23</x:f>
        <x:v>22314.7455</x:v>
      </x:c>
      <x:c r="I23" s="22" t="str">
        <x:f>HYPERLINK("https://etp-aktiv.ru/catalog/materialy/lenta-transporternaya/2000560816-U112/","Открыть позицию")</x:f>
        <x:v>Открыть позицию</x:v>
      </x:c>
    </x:row>
    <x:row r="24" ht="28" customHeight="1">
      <x:c r="A24" s="16" t="str">
        <x:v>Беловская ГРЭС</x:v>
      </x:c>
      <x:c r="B24" s="16" t="str">
        <x:v>2000339301-U112</x:v>
      </x:c>
      <x:c r="C24" s="16" t="str">
        <x:v>ЛОПАТА СОВКОВ FISKARS ЭРГОКОМФОРТ 132402</x:v>
      </x:c>
      <x:c r="D24" s="16" t="str">
        <x:v>Инструмент и спецоснастка</x:v>
      </x:c>
      <x:c r="E24" s="16" t="str">
        <x:v>ШТ</x:v>
      </x:c>
      <x:c r="F24" s="21" t="n">
        <x:v>2</x:v>
      </x:c>
      <x:c r="G24" s="17" t="n">
        <x:v>505.58020000000005</x:v>
      </x:c>
      <x:c r="H24" s="17" t="n">
        <x:f>G24*F24</x:f>
        <x:v>1011.1604000000001</x:v>
      </x:c>
      <x:c r="I24" s="22" t="str">
        <x:f>HYPERLINK("https://etp-aktiv.ru/catalog/materialy/instrument-i-specosnastka/2000339301-U112/","Открыть позицию")</x:f>
        <x:v>Открыть позицию</x:v>
      </x:c>
    </x:row>
    <x:row r="25" ht="28" customHeight="1">
      <x:c r="A25" s="16" t="str">
        <x:v>Беловская ГРЭС</x:v>
      </x:c>
      <x:c r="B25" s="16" t="str">
        <x:v>2000128863-U112</x:v>
      </x:c>
      <x:c r="C25" s="16" t="str">
        <x:v>МАСЛО КОМПРЕССОРНОЕ RENISO SEZ 32 1Л</x:v>
      </x:c>
      <x:c r="D25" s="16" t="str">
        <x:v>Другие смазочные материалы и тех.жидкости</x:v>
      </x:c>
      <x:c r="E25" s="16" t="str">
        <x:v>ШТ</x:v>
      </x:c>
      <x:c r="F25" s="21" t="n">
        <x:v>1</x:v>
      </x:c>
      <x:c r="G25" s="17" t="n">
        <x:v>2470.5</x:v>
      </x:c>
      <x:c r="H25" s="17" t="n">
        <x:f>G25*F25</x:f>
        <x:v>2470.5</x:v>
      </x:c>
      <x:c r="I25" s="22" t="str">
        <x:f>HYPERLINK("https://etp-aktiv.ru/catalog/materialy/gsm/2000128863-U112/","Открыть позицию")</x:f>
        <x:v>Открыть позицию</x:v>
      </x:c>
    </x:row>
    <x:row r="26" ht="28" customHeight="1">
      <x:c r="A26" s="16" t="str">
        <x:v>Беловская ГРЭС</x:v>
      </x:c>
      <x:c r="B26" s="16" t="str">
        <x:v>2000253218-U112</x:v>
      </x:c>
      <x:c r="C26" s="16" t="str">
        <x:v>ПОДШИПНИК 1-942/25</x:v>
      </x:c>
      <x:c r="D26" s="16" t="str">
        <x:v>Подшипники</x:v>
      </x:c>
      <x:c r="E26" s="16" t="str">
        <x:v>ШТ</x:v>
      </x:c>
      <x:c r="F26" s="21" t="n">
        <x:v>1</x:v>
      </x:c>
      <x:c r="G26" s="17" t="n">
        <x:v>72.7974</x:v>
      </x:c>
      <x:c r="H26" s="17" t="n">
        <x:f>G26*F26</x:f>
        <x:v>72.7974</x:v>
      </x:c>
      <x:c r="I26" s="22" t="str">
        <x:f>HYPERLINK("https://etp-aktiv.ru/catalog/materialy/podshipniki/2000253218-U112/","Открыть позицию")</x:f>
        <x:v>Открыть позицию</x:v>
      </x:c>
    </x:row>
    <x:row r="27" ht="28" customHeight="1">
      <x:c r="A27" s="16" t="str">
        <x:v>Беловская ГРЭС</x:v>
      </x:c>
      <x:c r="B27" s="16" t="str">
        <x:v>2000034235-U112</x:v>
      </x:c>
      <x:c r="C27" s="16" t="str">
        <x:v>ПОДШИПНИК 1000904</x:v>
      </x:c>
      <x:c r="D27" s="16" t="str">
        <x:v>Подшипники</x:v>
      </x:c>
      <x:c r="E27" s="16" t="str">
        <x:v>ШТ</x:v>
      </x:c>
      <x:c r="F27" s="21" t="n">
        <x:v>2</x:v>
      </x:c>
      <x:c r="G27" s="17" t="n">
        <x:v>75.4936</x:v>
      </x:c>
      <x:c r="H27" s="17" t="n">
        <x:f>G27*F27</x:f>
        <x:v>150.9872</x:v>
      </x:c>
      <x:c r="I27" s="22" t="str">
        <x:f>HYPERLINK("https://etp-aktiv.ru/catalog/materialy/podshipniki/2000034235-U112/","Открыть позицию")</x:f>
        <x:v>Открыть позицию</x:v>
      </x:c>
    </x:row>
    <x:row r="28" ht="28" customHeight="1">
      <x:c r="A28" s="16" t="str">
        <x:v>Беловская ГРЭС</x:v>
      </x:c>
      <x:c r="B28" s="16" t="str">
        <x:v>2000003383-U112</x:v>
      </x:c>
      <x:c r="C28" s="16" t="str">
        <x:v>ПОДШИПНИК 1000906</x:v>
      </x:c>
      <x:c r="D28" s="16" t="str">
        <x:v>Подшипники</x:v>
      </x:c>
      <x:c r="E28" s="16" t="str">
        <x:v>ШТ</x:v>
      </x:c>
      <x:c r="F28" s="21" t="n">
        <x:v>6</x:v>
      </x:c>
      <x:c r="G28" s="17" t="n">
        <x:v>90.74359999999999</x:v>
      </x:c>
      <x:c r="H28" s="17" t="n">
        <x:f>G28*F28</x:f>
        <x:v>544.4615999999999</x:v>
      </x:c>
      <x:c r="I28" s="22" t="str">
        <x:f>HYPERLINK("https://etp-aktiv.ru/catalog/materialy/podshipniki/2000003383-U112/","Открыть позицию")</x:f>
        <x:v>Открыть позицию</x:v>
      </x:c>
    </x:row>
    <x:row r="29" ht="28" customHeight="1">
      <x:c r="A29" s="16" t="str">
        <x:v>Беловская ГРЭС</x:v>
      </x:c>
      <x:c r="B29" s="16" t="str">
        <x:v>2000127321-U112</x:v>
      </x:c>
      <x:c r="C29" s="16" t="str">
        <x:v>ПОДШИПНИК 102307</x:v>
      </x:c>
      <x:c r="D29" s="16" t="str">
        <x:v>Подшипники</x:v>
      </x:c>
      <x:c r="E29" s="16" t="str">
        <x:v>ШТ</x:v>
      </x:c>
      <x:c r="F29" s="21" t="n">
        <x:v>2</x:v>
      </x:c>
      <x:c r="G29" s="17" t="n">
        <x:v>466.65</x:v>
      </x:c>
      <x:c r="H29" s="17" t="n">
        <x:f>G29*F29</x:f>
        <x:v>933.3</x:v>
      </x:c>
      <x:c r="I29" s="22" t="str">
        <x:f>HYPERLINK("https://etp-aktiv.ru/catalog/materialy/podshipniki/2000127321-U112/","Открыть позицию")</x:f>
        <x:v>Открыть позицию</x:v>
      </x:c>
    </x:row>
    <x:row r="30" ht="28" customHeight="1">
      <x:c r="A30" s="16" t="str">
        <x:v>Беловская ГРЭС</x:v>
      </x:c>
      <x:c r="B30" s="16" t="str">
        <x:v>2000116299-U112</x:v>
      </x:c>
      <x:c r="C30" s="16" t="str">
        <x:v>ПОДШИПНИК 104</x:v>
      </x:c>
      <x:c r="D30" s="16" t="str">
        <x:v>Подшипники</x:v>
      </x:c>
      <x:c r="E30" s="16" t="str">
        <x:v>ШТ</x:v>
      </x:c>
      <x:c r="F30" s="21" t="n">
        <x:v>1</x:v>
      </x:c>
      <x:c r="G30" s="17" t="n">
        <x:v>31.842000000000002</x:v>
      </x:c>
      <x:c r="H30" s="17" t="n">
        <x:f>G30*F30</x:f>
        <x:v>31.842000000000002</x:v>
      </x:c>
      <x:c r="I30" s="22" t="str">
        <x:f>HYPERLINK("https://etp-aktiv.ru/catalog/materialy/podshipniki/2000116299-U112/","Открыть позицию")</x:f>
        <x:v>Открыть позицию</x:v>
      </x:c>
    </x:row>
    <x:row r="31" ht="28" customHeight="1">
      <x:c r="A31" s="16" t="str">
        <x:v>Беловская ГРЭС</x:v>
      </x:c>
      <x:c r="B31" s="16" t="str">
        <x:v>2000116352-U112</x:v>
      </x:c>
      <x:c r="C31" s="16" t="str">
        <x:v>ПОДШИПНИК 110</x:v>
      </x:c>
      <x:c r="D31" s="16" t="str">
        <x:v>Подшипники</x:v>
      </x:c>
      <x:c r="E31" s="16" t="str">
        <x:v>ШТ</x:v>
      </x:c>
      <x:c r="F31" s="21" t="n">
        <x:v>2</x:v>
      </x:c>
      <x:c r="G31" s="17" t="n">
        <x:v>21.398799999999998</x:v>
      </x:c>
      <x:c r="H31" s="17" t="n">
        <x:f>G31*F31</x:f>
        <x:v>42.797599999999996</x:v>
      </x:c>
      <x:c r="I31" s="22" t="str">
        <x:f>HYPERLINK("https://etp-aktiv.ru/catalog/materialy/podshipniki/2000116352-U112/","Открыть позицию")</x:f>
        <x:v>Открыть позицию</x:v>
      </x:c>
    </x:row>
    <x:row r="32" ht="28" customHeight="1">
      <x:c r="A32" s="16" t="str">
        <x:v>Беловская ГРЭС</x:v>
      </x:c>
      <x:c r="B32" s="16" t="str">
        <x:v>2000256597-U112</x:v>
      </x:c>
      <x:c r="C32" s="16" t="str">
        <x:v>ПОДШИПНИК 1209</x:v>
      </x:c>
      <x:c r="D32" s="16" t="str">
        <x:v>Подшипники</x:v>
      </x:c>
      <x:c r="E32" s="16" t="str">
        <x:v>ШТ</x:v>
      </x:c>
      <x:c r="F32" s="21" t="n">
        <x:v>2</x:v>
      </x:c>
      <x:c r="G32" s="17" t="n">
        <x:v>164.7</x:v>
      </x:c>
      <x:c r="H32" s="17" t="n">
        <x:f>G32*F32</x:f>
        <x:v>329.4</x:v>
      </x:c>
      <x:c r="I32" s="22" t="str">
        <x:f>HYPERLINK("https://etp-aktiv.ru/catalog/materialy/podshipniki/2000256597-U112/","Открыть позицию")</x:f>
        <x:v>Открыть позицию</x:v>
      </x:c>
    </x:row>
    <x:row r="33" ht="28" customHeight="1">
      <x:c r="A33" s="16" t="str">
        <x:v>Беловская ГРЭС</x:v>
      </x:c>
      <x:c r="B33" s="16" t="str">
        <x:v>2000008879-U112</x:v>
      </x:c>
      <x:c r="C33" s="16" t="str">
        <x:v>ПОДШИПНИК 128</x:v>
      </x:c>
      <x:c r="D33" s="16" t="str">
        <x:v>Подшипники</x:v>
      </x:c>
      <x:c r="E33" s="16" t="str">
        <x:v>ШТ</x:v>
      </x:c>
      <x:c r="F33" s="21" t="n">
        <x:v>5</x:v>
      </x:c>
      <x:c r="G33" s="17" t="n">
        <x:v>359.9122</x:v>
      </x:c>
      <x:c r="H33" s="17" t="n">
        <x:f>G33*F33</x:f>
        <x:v>1799.561</x:v>
      </x:c>
      <x:c r="I33" s="22" t="str">
        <x:f>HYPERLINK("https://etp-aktiv.ru/catalog/materialy/podshipniki/2000008879-U112/","Открыть позицию")</x:f>
        <x:v>Открыть позицию</x:v>
      </x:c>
    </x:row>
    <x:row r="34" ht="28" customHeight="1">
      <x:c r="A34" s="16" t="str">
        <x:v>Беловская ГРЭС</x:v>
      </x:c>
      <x:c r="B34" s="16" t="str">
        <x:v>2000034284-U112</x:v>
      </x:c>
      <x:c r="C34" s="16" t="str">
        <x:v>ПОДШИПНИК 1304</x:v>
      </x:c>
      <x:c r="D34" s="16" t="str">
        <x:v>Подшипники</x:v>
      </x:c>
      <x:c r="E34" s="16" t="str">
        <x:v>ШТ</x:v>
      </x:c>
      <x:c r="F34" s="21" t="n">
        <x:v>2</x:v>
      </x:c>
      <x:c r="G34" s="17" t="n">
        <x:v>23.5948</x:v>
      </x:c>
      <x:c r="H34" s="17" t="n">
        <x:f>G34*F34</x:f>
        <x:v>47.1896</x:v>
      </x:c>
      <x:c r="I34" s="22" t="str">
        <x:f>HYPERLINK("https://etp-aktiv.ru/catalog/materialy/podshipniki/2000034284-U112/","Открыть позицию")</x:f>
        <x:v>Открыть позицию</x:v>
      </x:c>
    </x:row>
    <x:row r="35" ht="28" customHeight="1">
      <x:c r="A35" s="16" t="str">
        <x:v>Беловская ГРЭС</x:v>
      </x:c>
      <x:c r="B35" s="16" t="str">
        <x:v>2000034303-U112</x:v>
      </x:c>
      <x:c r="C35" s="16" t="str">
        <x:v>ПОДШИПНИК 180200</x:v>
      </x:c>
      <x:c r="D35" s="16" t="str">
        <x:v>Подшипники</x:v>
      </x:c>
      <x:c r="E35" s="16" t="str">
        <x:v>ШТ</x:v>
      </x:c>
      <x:c r="F35" s="21" t="n">
        <x:v>6</x:v>
      </x:c>
      <x:c r="G35" s="17" t="n">
        <x:v>41.175</x:v>
      </x:c>
      <x:c r="H35" s="17" t="n">
        <x:f>G35*F35</x:f>
        <x:v>247.04999999999998</x:v>
      </x:c>
      <x:c r="I35" s="22" t="str">
        <x:f>HYPERLINK("https://etp-aktiv.ru/catalog/materialy/podshipniki/2000034303-U112/","Открыть позицию")</x:f>
        <x:v>Открыть позицию</x:v>
      </x:c>
    </x:row>
    <x:row r="36" ht="28" customHeight="1">
      <x:c r="A36" s="16" t="str">
        <x:v>Беловская ГРЭС</x:v>
      </x:c>
      <x:c r="B36" s="16" t="str">
        <x:v>2000116308-U112</x:v>
      </x:c>
      <x:c r="C36" s="16" t="str">
        <x:v>ПОДШИПНИК 180202</x:v>
      </x:c>
      <x:c r="D36" s="16" t="str">
        <x:v>Подшипники</x:v>
      </x:c>
      <x:c r="E36" s="16" t="str">
        <x:v>ШТ</x:v>
      </x:c>
      <x:c r="F36" s="21" t="n">
        <x:v>104</x:v>
      </x:c>
      <x:c r="G36" s="17" t="n">
        <x:v>20.3984</x:v>
      </x:c>
      <x:c r="H36" s="17" t="n">
        <x:f>G36*F36</x:f>
        <x:v>2121.4336</x:v>
      </x:c>
      <x:c r="I36" s="22" t="str">
        <x:f>HYPERLINK("https://etp-aktiv.ru/catalog/materialy/podshipniki/2000116308-U112/","Открыть позицию")</x:f>
        <x:v>Открыть позицию</x:v>
      </x:c>
    </x:row>
    <x:row r="37" ht="28" customHeight="1">
      <x:c r="A37" s="16" t="str">
        <x:v>Беловская ГРЭС</x:v>
      </x:c>
      <x:c r="B37" s="16" t="str">
        <x:v>2000116383-U112</x:v>
      </x:c>
      <x:c r="C37" s="16" t="str">
        <x:v>ПОДШИПНИК 180210</x:v>
      </x:c>
      <x:c r="D37" s="16" t="str">
        <x:v>Подшипники</x:v>
      </x:c>
      <x:c r="E37" s="16" t="str">
        <x:v>ШТ</x:v>
      </x:c>
      <x:c r="F37" s="21" t="n">
        <x:v>2</x:v>
      </x:c>
      <x:c r="G37" s="17" t="n">
        <x:v>87.0226</x:v>
      </x:c>
      <x:c r="H37" s="17" t="n">
        <x:f>G37*F37</x:f>
        <x:v>174.0452</x:v>
      </x:c>
      <x:c r="I37" s="22" t="str">
        <x:f>HYPERLINK("https://etp-aktiv.ru/catalog/materialy/podshipniki/2000116383-U112/","Открыть позицию")</x:f>
        <x:v>Открыть позицию</x:v>
      </x:c>
    </x:row>
    <x:row r="38" ht="28" customHeight="1">
      <x:c r="A38" s="16" t="str">
        <x:v>Беловская ГРЭС</x:v>
      </x:c>
      <x:c r="B38" s="16" t="str">
        <x:v>2000115154-U112</x:v>
      </x:c>
      <x:c r="C38" s="16" t="str">
        <x:v>ПОДШИПНИК 180304</x:v>
      </x:c>
      <x:c r="D38" s="16" t="str">
        <x:v>Подшипники</x:v>
      </x:c>
      <x:c r="E38" s="16" t="str">
        <x:v>ШТ</x:v>
      </x:c>
      <x:c r="F38" s="21" t="n">
        <x:v>62</x:v>
      </x:c>
      <x:c r="G38" s="17" t="n">
        <x:v>66.73400000000001</x:v>
      </x:c>
      <x:c r="H38" s="17" t="n">
        <x:f>G38*F38</x:f>
        <x:v>4137.508000000001</x:v>
      </x:c>
      <x:c r="I38" s="22" t="str">
        <x:f>HYPERLINK("https://etp-aktiv.ru/catalog/materialy/podshipniki/2000115154-U112/","Открыть позицию")</x:f>
        <x:v>Открыть позицию</x:v>
      </x:c>
    </x:row>
    <x:row r="39" ht="28" customHeight="1">
      <x:c r="A39" s="16" t="str">
        <x:v>Беловская ГРЭС</x:v>
      </x:c>
      <x:c r="B39" s="16" t="str">
        <x:v>2000116359-U112</x:v>
      </x:c>
      <x:c r="C39" s="16" t="str">
        <x:v>ПОДШИПНИК 180306</x:v>
      </x:c>
      <x:c r="D39" s="16" t="str">
        <x:v>Подшипники</x:v>
      </x:c>
      <x:c r="E39" s="16" t="str">
        <x:v>ШТ</x:v>
      </x:c>
      <x:c r="F39" s="21" t="n">
        <x:v>5</x:v>
      </x:c>
      <x:c r="G39" s="17" t="n">
        <x:v>130.0032</x:v>
      </x:c>
      <x:c r="H39" s="17" t="n">
        <x:f>G39*F39</x:f>
        <x:v>650.016</x:v>
      </x:c>
      <x:c r="I39" s="22" t="str">
        <x:f>HYPERLINK("https://etp-aktiv.ru/catalog/materialy/podshipniki/2000116359-U112/","Открыть позицию")</x:f>
        <x:v>Открыть позицию</x:v>
      </x:c>
    </x:row>
    <x:row r="40" ht="28" customHeight="1">
      <x:c r="A40" s="16" t="str">
        <x:v>Беловская ГРЭС</x:v>
      </x:c>
      <x:c r="B40" s="16" t="str">
        <x:v>2000115325-U112</x:v>
      </x:c>
      <x:c r="C40" s="16" t="str">
        <x:v>ПОДШИПНИК 180308</x:v>
      </x:c>
      <x:c r="D40" s="16" t="str">
        <x:v>Подшипники</x:v>
      </x:c>
      <x:c r="E40" s="16" t="str">
        <x:v>ШТ</x:v>
      </x:c>
      <x:c r="F40" s="21" t="n">
        <x:v>14</x:v>
      </x:c>
      <x:c r="G40" s="17" t="n">
        <x:v>161.5768</x:v>
      </x:c>
      <x:c r="H40" s="17" t="n">
        <x:f>G40*F40</x:f>
        <x:v>2262.0751999999998</x:v>
      </x:c>
      <x:c r="I40" s="22" t="str">
        <x:f>HYPERLINK("https://etp-aktiv.ru/catalog/materialy/podshipniki/2000115325-U112/","Открыть позицию")</x:f>
        <x:v>Открыть позицию</x:v>
      </x:c>
    </x:row>
    <x:row r="41" ht="28" customHeight="1">
      <x:c r="A41" s="16" t="str">
        <x:v>Беловская ГРЭС</x:v>
      </x:c>
      <x:c r="B41" s="16" t="str">
        <x:v>2000131416-U112</x:v>
      </x:c>
      <x:c r="C41" s="16" t="str">
        <x:v>ПОДШИПНИК 180313</x:v>
      </x:c>
      <x:c r="D41" s="16" t="str">
        <x:v>Подшипники</x:v>
      </x:c>
      <x:c r="E41" s="16" t="str">
        <x:v>ШТ</x:v>
      </x:c>
      <x:c r="F41" s="21" t="n">
        <x:v>7</x:v>
      </x:c>
      <x:c r="G41" s="17" t="n">
        <x:v>157.258</x:v>
      </x:c>
      <x:c r="H41" s="17" t="n">
        <x:f>G41*F41</x:f>
        <x:v>1100.806</x:v>
      </x:c>
      <x:c r="I41" s="22" t="str">
        <x:f>HYPERLINK("https://etp-aktiv.ru/catalog/materialy/podshipniki/2000131416-U112/","Открыть позицию")</x:f>
        <x:v>Открыть позицию</x:v>
      </x:c>
    </x:row>
    <x:row r="42" ht="28" customHeight="1">
      <x:c r="A42" s="16" t="str">
        <x:v>Беловская ГРЭС</x:v>
      </x:c>
      <x:c r="B42" s="16" t="str">
        <x:v>2000116905-U112</x:v>
      </x:c>
      <x:c r="C42" s="16" t="str">
        <x:v>ПОДШИПНИК 180502</x:v>
      </x:c>
      <x:c r="D42" s="16" t="str">
        <x:v>Подшипники</x:v>
      </x:c>
      <x:c r="E42" s="16" t="str">
        <x:v>ШТ</x:v>
      </x:c>
      <x:c r="F42" s="21" t="n">
        <x:v>9</x:v>
      </x:c>
      <x:c r="G42" s="17" t="n">
        <x:v>65.9044</x:v>
      </x:c>
      <x:c r="H42" s="17" t="n">
        <x:f>G42*F42</x:f>
        <x:v>593.1396</x:v>
      </x:c>
      <x:c r="I42" s="22" t="str">
        <x:f>HYPERLINK("https://etp-aktiv.ru/catalog/materialy/podshipniki/2000116905-U112/","Открыть позицию")</x:f>
        <x:v>Открыть позицию</x:v>
      </x:c>
    </x:row>
    <x:row r="43" ht="28" customHeight="1">
      <x:c r="A43" s="16" t="str">
        <x:v>Беловская ГРЭС</x:v>
      </x:c>
      <x:c r="B43" s="16" t="str">
        <x:v>2000127006-U112</x:v>
      </x:c>
      <x:c r="C43" s="16" t="str">
        <x:v>ПОДШИПНИК 201</x:v>
      </x:c>
      <x:c r="D43" s="16" t="str">
        <x:v>Подшипники</x:v>
      </x:c>
      <x:c r="E43" s="16" t="str">
        <x:v>ШТ</x:v>
      </x:c>
      <x:c r="F43" s="21" t="n">
        <x:v>51</x:v>
      </x:c>
      <x:c r="G43" s="17" t="n">
        <x:v>16.714</x:v>
      </x:c>
      <x:c r="H43" s="17" t="n">
        <x:f>G43*F43</x:f>
        <x:v>852.414</x:v>
      </x:c>
      <x:c r="I43" s="22" t="str">
        <x:f>HYPERLINK("https://etp-aktiv.ru/catalog/materialy/podshipniki/2000127006-U112/","Открыть позицию")</x:f>
        <x:v>Открыть позицию</x:v>
      </x:c>
    </x:row>
    <x:row r="44" ht="28" customHeight="1">
      <x:c r="A44" s="16" t="str">
        <x:v>Беловская ГРЭС</x:v>
      </x:c>
      <x:c r="B44" s="16" t="str">
        <x:v>2000116321-U112</x:v>
      </x:c>
      <x:c r="C44" s="16" t="str">
        <x:v>ПОДШИПНИК 205</x:v>
      </x:c>
      <x:c r="D44" s="16" t="str">
        <x:v>Подшипники</x:v>
      </x:c>
      <x:c r="E44" s="16" t="str">
        <x:v>ШТ</x:v>
      </x:c>
      <x:c r="F44" s="21" t="n">
        <x:v>114</x:v>
      </x:c>
      <x:c r="G44" s="17" t="n">
        <x:v>34.342999999999996</x:v>
      </x:c>
      <x:c r="H44" s="17" t="n">
        <x:f>G44*F44</x:f>
        <x:v>3915.1019999999994</x:v>
      </x:c>
      <x:c r="I44" s="22" t="str">
        <x:f>HYPERLINK("https://etp-aktiv.ru/catalog/materialy/podshipniki/2000116321-U112/","Открыть позицию")</x:f>
        <x:v>Открыть позицию</x:v>
      </x:c>
    </x:row>
    <x:row r="45" ht="28" customHeight="1">
      <x:c r="A45" s="16" t="str">
        <x:v>Беловская ГРЭС</x:v>
      </x:c>
      <x:c r="B45" s="16" t="str">
        <x:v>2000116330-U112</x:v>
      </x:c>
      <x:c r="C45" s="16" t="str">
        <x:v>ПОДШИПНИК 206</x:v>
      </x:c>
      <x:c r="D45" s="16" t="str">
        <x:v>Подшипники</x:v>
      </x:c>
      <x:c r="E45" s="16" t="str">
        <x:v>ШТ</x:v>
      </x:c>
      <x:c r="F45" s="21" t="n">
        <x:v>80</x:v>
      </x:c>
      <x:c r="G45" s="17" t="n">
        <x:v>114.9972</x:v>
      </x:c>
      <x:c r="H45" s="17" t="n">
        <x:f>G45*F45</x:f>
        <x:v>9199.776</x:v>
      </x:c>
      <x:c r="I45" s="22" t="str">
        <x:f>HYPERLINK("https://etp-aktiv.ru/catalog/materialy/podshipniki/2000116330-U112/","Открыть позицию")</x:f>
        <x:v>Открыть позицию</x:v>
      </x:c>
    </x:row>
    <x:row r="46" ht="28" customHeight="1">
      <x:c r="A46" s="16" t="str">
        <x:v>Беловская ГРЭС</x:v>
      </x:c>
      <x:c r="B46" s="16" t="str">
        <x:v>2000116336-U112</x:v>
      </x:c>
      <x:c r="C46" s="16" t="str">
        <x:v>ПОДШИПНИК 207</x:v>
      </x:c>
      <x:c r="D46" s="16" t="str">
        <x:v>Подшипники</x:v>
      </x:c>
      <x:c r="E46" s="16" t="str">
        <x:v>ШТ</x:v>
      </x:c>
      <x:c r="F46" s="21" t="n">
        <x:v>38</x:v>
      </x:c>
      <x:c r="G46" s="17" t="n">
        <x:v>63.732800000000005</x:v>
      </x:c>
      <x:c r="H46" s="17" t="n">
        <x:f>G46*F46</x:f>
        <x:v>2421.8464000000004</x:v>
      </x:c>
      <x:c r="I46" s="22" t="str">
        <x:f>HYPERLINK("https://etp-aktiv.ru/catalog/materialy/podshipniki/2000116336-U112/","Открыть позицию")</x:f>
        <x:v>Открыть позицию</x:v>
      </x:c>
    </x:row>
    <x:row r="47" ht="28" customHeight="1">
      <x:c r="A47" s="16" t="str">
        <x:v>Беловская ГРЭС</x:v>
      </x:c>
      <x:c r="B47" s="16" t="str">
        <x:v>2000116367-U112</x:v>
      </x:c>
      <x:c r="C47" s="16" t="str">
        <x:v>ПОДШИПНИК 210</x:v>
      </x:c>
      <x:c r="D47" s="16" t="str">
        <x:v>Подшипники</x:v>
      </x:c>
      <x:c r="E47" s="16" t="str">
        <x:v>ШТ</x:v>
      </x:c>
      <x:c r="F47" s="21" t="n">
        <x:v>7</x:v>
      </x:c>
      <x:c r="G47" s="17" t="n">
        <x:v>154.32999999999998</x:v>
      </x:c>
      <x:c r="H47" s="17" t="n">
        <x:f>G47*F47</x:f>
        <x:v>1080.31</x:v>
      </x:c>
      <x:c r="I47" s="22" t="str">
        <x:f>HYPERLINK("https://etp-aktiv.ru/catalog/materialy/podshipniki/2000116367-U112/","Открыть позицию")</x:f>
        <x:v>Открыть позицию</x:v>
      </x:c>
    </x:row>
    <x:row r="48" ht="28" customHeight="1">
      <x:c r="A48" s="16" t="str">
        <x:v>Беловская ГРЭС</x:v>
      </x:c>
      <x:c r="B48" s="16" t="str">
        <x:v>2000116374-U112</x:v>
      </x:c>
      <x:c r="C48" s="16" t="str">
        <x:v>ПОДШИПНИК 211</x:v>
      </x:c>
      <x:c r="D48" s="16" t="str">
        <x:v>Подшипники</x:v>
      </x:c>
      <x:c r="E48" s="16" t="str">
        <x:v>ШТ</x:v>
      </x:c>
      <x:c r="F48" s="21" t="n">
        <x:v>5</x:v>
      </x:c>
      <x:c r="G48" s="17" t="n">
        <x:v>48.5926</x:v>
      </x:c>
      <x:c r="H48" s="17" t="n">
        <x:f>G48*F48</x:f>
        <x:v>242.963</x:v>
      </x:c>
      <x:c r="I48" s="22" t="str">
        <x:f>HYPERLINK("https://etp-aktiv.ru/catalog/materialy/podshipniki/2000116374-U112/","Открыть позицию")</x:f>
        <x:v>Открыть позицию</x:v>
      </x:c>
    </x:row>
    <x:row r="49" ht="28" customHeight="1">
      <x:c r="A49" s="16" t="str">
        <x:v>Беловская ГРЭС</x:v>
      </x:c>
      <x:c r="B49" s="16" t="str">
        <x:v>2000116459-U112</x:v>
      </x:c>
      <x:c r="C49" s="16" t="str">
        <x:v>ПОДШИПНИК 216</x:v>
      </x:c>
      <x:c r="D49" s="16" t="str">
        <x:v>Подшипники</x:v>
      </x:c>
      <x:c r="E49" s="16" t="str">
        <x:v>ШТ</x:v>
      </x:c>
      <x:c r="F49" s="21" t="n">
        <x:v>8</x:v>
      </x:c>
      <x:c r="G49" s="17" t="n">
        <x:v>314.05240000000003</x:v>
      </x:c>
      <x:c r="H49" s="17" t="n">
        <x:f>G49*F49</x:f>
        <x:v>2512.4192000000003</x:v>
      </x:c>
      <x:c r="I49" s="22" t="str">
        <x:f>HYPERLINK("https://etp-aktiv.ru/catalog/materialy/podshipniki/2000116459-U112/","Открыть позицию")</x:f>
        <x:v>Открыть позицию</x:v>
      </x:c>
    </x:row>
    <x:row r="50" ht="28" customHeight="1">
      <x:c r="A50" s="16" t="str">
        <x:v>Беловская ГРЭС</x:v>
      </x:c>
      <x:c r="B50" s="16" t="str">
        <x:v>2000116466-U112</x:v>
      </x:c>
      <x:c r="C50" s="16" t="str">
        <x:v>ПОДШИПНИК 217</x:v>
      </x:c>
      <x:c r="D50" s="16" t="str">
        <x:v>Подшипники</x:v>
      </x:c>
      <x:c r="E50" s="16" t="str">
        <x:v>ШТ</x:v>
      </x:c>
      <x:c r="F50" s="21" t="n">
        <x:v>2</x:v>
      </x:c>
      <x:c r="G50" s="17" t="n">
        <x:v>304.6218</x:v>
      </x:c>
      <x:c r="H50" s="17" t="n">
        <x:f>G50*F50</x:f>
        <x:v>609.2436</x:v>
      </x:c>
      <x:c r="I50" s="22" t="str">
        <x:f>HYPERLINK("https://etp-aktiv.ru/catalog/materialy/podshipniki/2000116466-U112/","Открыть позицию")</x:f>
        <x:v>Открыть позицию</x:v>
      </x:c>
    </x:row>
    <x:row r="51" ht="28" customHeight="1">
      <x:c r="A51" s="16" t="str">
        <x:v>Беловская ГРЭС</x:v>
      </x:c>
      <x:c r="B51" s="16" t="str">
        <x:v>2000115338-U112</x:v>
      </x:c>
      <x:c r="C51" s="16" t="str">
        <x:v>ПОДШИПНИК 218</x:v>
      </x:c>
      <x:c r="D51" s="16" t="str">
        <x:v>Подшипники</x:v>
      </x:c>
      <x:c r="E51" s="16" t="str">
        <x:v>ШТ</x:v>
      </x:c>
      <x:c r="F51" s="21" t="n">
        <x:v>1</x:v>
      </x:c>
      <x:c r="G51" s="17" t="n">
        <x:v>169.2262</x:v>
      </x:c>
      <x:c r="H51" s="17" t="n">
        <x:f>G51*F51</x:f>
        <x:v>169.2262</x:v>
      </x:c>
      <x:c r="I51" s="22" t="str">
        <x:f>HYPERLINK("https://etp-aktiv.ru/catalog/materialy/podshipniki/2000115338-U112/","Открыть позицию")</x:f>
        <x:v>Открыть позицию</x:v>
      </x:c>
    </x:row>
    <x:row r="52" ht="28" customHeight="1">
      <x:c r="A52" s="16" t="str">
        <x:v>Беловская ГРЭС</x:v>
      </x:c>
      <x:c r="B52" s="16" t="str">
        <x:v>2000003928-U112</x:v>
      </x:c>
      <x:c r="C52" s="16" t="str">
        <x:v>ПОДШИПНИК 2306</x:v>
      </x:c>
      <x:c r="D52" s="16" t="str">
        <x:v>Подшипники</x:v>
      </x:c>
      <x:c r="E52" s="16" t="str">
        <x:v>ШТ</x:v>
      </x:c>
      <x:c r="F52" s="21" t="n">
        <x:v>2</x:v>
      </x:c>
      <x:c r="G52" s="17" t="n">
        <x:v>205.15519999999998</x:v>
      </x:c>
      <x:c r="H52" s="17" t="n">
        <x:f>G52*F52</x:f>
        <x:v>410.31039999999996</x:v>
      </x:c>
      <x:c r="I52" s="22" t="str">
        <x:f>HYPERLINK("https://etp-aktiv.ru/catalog/materialy/podshipniki/2000003928-U112/","Открыть позицию")</x:f>
        <x:v>Открыть позицию</x:v>
      </x:c>
    </x:row>
    <x:row r="53" ht="28" customHeight="1">
      <x:c r="A53" s="16" t="str">
        <x:v>Беловская ГРЭС</x:v>
      </x:c>
      <x:c r="B53" s="16" t="str">
        <x:v>2000116523-U112</x:v>
      </x:c>
      <x:c r="C53" s="16" t="str">
        <x:v>ПОДШИПНИК 2307</x:v>
      </x:c>
      <x:c r="D53" s="16" t="str">
        <x:v>Подшипники</x:v>
      </x:c>
      <x:c r="E53" s="16" t="str">
        <x:v>ШТ</x:v>
      </x:c>
      <x:c r="F53" s="21" t="n">
        <x:v>18</x:v>
      </x:c>
      <x:c r="G53" s="17" t="n">
        <x:v>257.5908</x:v>
      </x:c>
      <x:c r="H53" s="17" t="n">
        <x:f>G53*F53</x:f>
        <x:v>4636.6344</x:v>
      </x:c>
      <x:c r="I53" s="22" t="str">
        <x:f>HYPERLINK("https://etp-aktiv.ru/catalog/materialy/podshipniki/2000116523-U112/","Открыть позицию")</x:f>
        <x:v>Открыть позицию</x:v>
      </x:c>
    </x:row>
    <x:row r="54" ht="28" customHeight="1">
      <x:c r="A54" s="16" t="str">
        <x:v>Беловская ГРЭС</x:v>
      </x:c>
      <x:c r="B54" s="16" t="str">
        <x:v>2000116520-U112</x:v>
      </x:c>
      <x:c r="C54" s="16" t="str">
        <x:v>ПОДШИПНИК 2312</x:v>
      </x:c>
      <x:c r="D54" s="16" t="str">
        <x:v>Подшипники</x:v>
      </x:c>
      <x:c r="E54" s="16" t="str">
        <x:v>ШТ</x:v>
      </x:c>
      <x:c r="F54" s="21" t="n">
        <x:v>15</x:v>
      </x:c>
      <x:c r="G54" s="17" t="n">
        <x:v>551.0984</x:v>
      </x:c>
      <x:c r="H54" s="17" t="n">
        <x:f>G54*F54</x:f>
        <x:v>8266.475999999999</x:v>
      </x:c>
      <x:c r="I54" s="22" t="str">
        <x:f>HYPERLINK("https://etp-aktiv.ru/catalog/materialy/podshipniki/2000116520-U112/","Открыть позицию")</x:f>
        <x:v>Открыть позицию</x:v>
      </x:c>
    </x:row>
    <x:row r="55" ht="28" customHeight="1">
      <x:c r="A55" s="16" t="str">
        <x:v>Беловская ГРЭС</x:v>
      </x:c>
      <x:c r="B55" s="16" t="str">
        <x:v>2000116609-U112</x:v>
      </x:c>
      <x:c r="C55" s="16" t="str">
        <x:v>ПОДШИПНИК 2313</x:v>
      </x:c>
      <x:c r="D55" s="16" t="str">
        <x:v>Подшипники</x:v>
      </x:c>
      <x:c r="E55" s="16" t="str">
        <x:v>ШТ</x:v>
      </x:c>
      <x:c r="F55" s="21" t="n">
        <x:v>17</x:v>
      </x:c>
      <x:c r="G55" s="17" t="n">
        <x:v>899.0912000000001</x:v>
      </x:c>
      <x:c r="H55" s="17" t="n">
        <x:f>G55*F55</x:f>
        <x:v>15284.550400000002</x:v>
      </x:c>
      <x:c r="I55" s="22" t="str">
        <x:f>HYPERLINK("https://etp-aktiv.ru/catalog/materialy/podshipniki/2000116609-U112/","Открыть позицию")</x:f>
        <x:v>Открыть позицию</x:v>
      </x:c>
    </x:row>
    <x:row r="56" ht="28" customHeight="1">
      <x:c r="A56" s="16" t="str">
        <x:v>Беловская ГРЭС</x:v>
      </x:c>
      <x:c r="B56" s="16" t="str">
        <x:v>2000116573-U112</x:v>
      </x:c>
      <x:c r="C56" s="16" t="str">
        <x:v>ПОДШИПНИК 2315</x:v>
      </x:c>
      <x:c r="D56" s="16" t="str">
        <x:v>Подшипники</x:v>
      </x:c>
      <x:c r="E56" s="16" t="str">
        <x:v>ШТ</x:v>
      </x:c>
      <x:c r="F56" s="21" t="n">
        <x:v>2</x:v>
      </x:c>
      <x:c r="G56" s="17" t="n">
        <x:v>1194.1726</x:v>
      </x:c>
      <x:c r="H56" s="17" t="n">
        <x:f>G56*F56</x:f>
        <x:v>2388.3452</x:v>
      </x:c>
      <x:c r="I56" s="22" t="str">
        <x:f>HYPERLINK("https://etp-aktiv.ru/catalog/materialy/podshipniki/2000116573-U112/","Открыть позицию")</x:f>
        <x:v>Открыть позицию</x:v>
      </x:c>
    </x:row>
    <x:row r="57" ht="28" customHeight="1">
      <x:c r="A57" s="16" t="str">
        <x:v>Беловская ГРЭС</x:v>
      </x:c>
      <x:c r="B57" s="16" t="str">
        <x:v>2000967141-U112</x:v>
      </x:c>
      <x:c r="C57" s="16" t="str">
        <x:v>ПОДШИПНИК 28217</x:v>
      </x:c>
      <x:c r="D57" s="16" t="str">
        <x:v>Подшипники</x:v>
      </x:c>
      <x:c r="E57" s="16" t="str">
        <x:v>ШТ</x:v>
      </x:c>
      <x:c r="F57" s="21" t="n">
        <x:v>2</x:v>
      </x:c>
      <x:c r="G57" s="17" t="n">
        <x:v>9012.75</x:v>
      </x:c>
      <x:c r="H57" s="17" t="n">
        <x:f>G57*F57</x:f>
        <x:v>18025.5</x:v>
      </x:c>
      <x:c r="I57" s="22" t="str">
        <x:f>HYPERLINK("https://etp-aktiv.ru/catalog/materialy/podshipniki/2000967141-U112/","Открыть позицию")</x:f>
        <x:v>Открыть позицию</x:v>
      </x:c>
    </x:row>
    <x:row r="58" ht="28" customHeight="1">
      <x:c r="A58" s="16" t="str">
        <x:v>Беловская ГРЭС</x:v>
      </x:c>
      <x:c r="B58" s="16" t="str">
        <x:v>2000116327-U112</x:v>
      </x:c>
      <x:c r="C58" s="16" t="str">
        <x:v>ПОДШИПНИК 304</x:v>
      </x:c>
      <x:c r="D58" s="16" t="str">
        <x:v>Подшипники</x:v>
      </x:c>
      <x:c r="E58" s="16" t="str">
        <x:v>ШТ</x:v>
      </x:c>
      <x:c r="F58" s="21" t="n">
        <x:v>1</x:v>
      </x:c>
      <x:c r="G58" s="17" t="n">
        <x:v>45.0058</x:v>
      </x:c>
      <x:c r="H58" s="17" t="n">
        <x:f>G58*F58</x:f>
        <x:v>45.0058</x:v>
      </x:c>
      <x:c r="I58" s="22" t="str">
        <x:f>HYPERLINK("https://etp-aktiv.ru/catalog/materialy/podshipniki/2000116327-U112/","Открыть позицию")</x:f>
        <x:v>Открыть позицию</x:v>
      </x:c>
    </x:row>
    <x:row r="59" ht="28" customHeight="1">
      <x:c r="A59" s="16" t="str">
        <x:v>Беловская ГРЭС</x:v>
      </x:c>
      <x:c r="B59" s="16" t="str">
        <x:v>2000116357-U112</x:v>
      </x:c>
      <x:c r="C59" s="16" t="str">
        <x:v>ПОДШИПНИК 307</x:v>
      </x:c>
      <x:c r="D59" s="16" t="str">
        <x:v>Подшипники</x:v>
      </x:c>
      <x:c r="E59" s="16" t="str">
        <x:v>ШТ</x:v>
      </x:c>
      <x:c r="F59" s="21" t="n">
        <x:v>6</x:v>
      </x:c>
      <x:c r="G59" s="17" t="n">
        <x:v>139.2142</x:v>
      </x:c>
      <x:c r="H59" s="17" t="n">
        <x:f>G59*F59</x:f>
        <x:v>835.2852</x:v>
      </x:c>
      <x:c r="I59" s="22" t="str">
        <x:f>HYPERLINK("https://etp-aktiv.ru/catalog/materialy/podshipniki/2000116357-U112/","Открыть позицию")</x:f>
        <x:v>Открыть позицию</x:v>
      </x:c>
    </x:row>
    <x:row r="60" ht="28" customHeight="1">
      <x:c r="A60" s="16" t="str">
        <x:v>Беловская ГРЭС</x:v>
      </x:c>
      <x:c r="B60" s="16" t="str">
        <x:v>2000116438-U112</x:v>
      </x:c>
      <x:c r="C60" s="16" t="str">
        <x:v>ПОДШИПНИК 311</x:v>
      </x:c>
      <x:c r="D60" s="16" t="str">
        <x:v>Подшипники</x:v>
      </x:c>
      <x:c r="E60" s="16" t="str">
        <x:v>ШТ</x:v>
      </x:c>
      <x:c r="F60" s="21" t="n">
        <x:v>13</x:v>
      </x:c>
      <x:c r="G60" s="17" t="n">
        <x:v>373.38100000000003</x:v>
      </x:c>
      <x:c r="H60" s="17" t="n">
        <x:f>G60*F60</x:f>
        <x:v>4853.953</x:v>
      </x:c>
      <x:c r="I60" s="22" t="str">
        <x:f>HYPERLINK("https://etp-aktiv.ru/catalog/materialy/podshipniki/2000116438-U112/","Открыть позицию")</x:f>
        <x:v>Открыть позицию</x:v>
      </x:c>
    </x:row>
    <x:row r="61" ht="28" customHeight="1">
      <x:c r="A61" s="16" t="str">
        <x:v>Беловская ГРЭС</x:v>
      </x:c>
      <x:c r="B61" s="16" t="str">
        <x:v>2000116621-U112</x:v>
      </x:c>
      <x:c r="C61" s="16" t="str">
        <x:v>ПОДШИПНИК 32310</x:v>
      </x:c>
      <x:c r="D61" s="16" t="str">
        <x:v>Подшипники</x:v>
      </x:c>
      <x:c r="E61" s="16" t="str">
        <x:v>ШТ</x:v>
      </x:c>
      <x:c r="F61" s="21" t="n">
        <x:v>3</x:v>
      </x:c>
      <x:c r="G61" s="17" t="n">
        <x:v>516.6211999999999</x:v>
      </x:c>
      <x:c r="H61" s="17" t="n">
        <x:f>G61*F61</x:f>
        <x:v>1549.8635999999997</x:v>
      </x:c>
      <x:c r="I61" s="22" t="str">
        <x:f>HYPERLINK("https://etp-aktiv.ru/catalog/materialy/podshipniki/2000116621-U112/","Открыть позицию")</x:f>
        <x:v>Открыть позицию</x:v>
      </x:c>
    </x:row>
    <x:row r="62" ht="28" customHeight="1">
      <x:c r="A62" s="16" t="str">
        <x:v>Беловская ГРЭС</x:v>
      </x:c>
      <x:c r="B62" s="16" t="str">
        <x:v>2000116748-U112</x:v>
      </x:c>
      <x:c r="C62" s="16" t="str">
        <x:v>ПОДШИПНИК 32326</x:v>
      </x:c>
      <x:c r="D62" s="16" t="str">
        <x:v>Подшипники</x:v>
      </x:c>
      <x:c r="E62" s="16" t="str">
        <x:v>ШТ</x:v>
      </x:c>
      <x:c r="F62" s="21" t="n">
        <x:v>1</x:v>
      </x:c>
      <x:c r="G62" s="17" t="n">
        <x:v>5962.688999999999</x:v>
      </x:c>
      <x:c r="H62" s="17" t="n">
        <x:f>G62*F62</x:f>
        <x:v>5962.688999999999</x:v>
      </x:c>
      <x:c r="I62" s="22" t="str">
        <x:f>HYPERLINK("https://etp-aktiv.ru/catalog/materialy/podshipniki/2000116748-U112/","Открыть позицию")</x:f>
        <x:v>Открыть позицию</x:v>
      </x:c>
    </x:row>
    <x:row r="63" ht="28" customHeight="1">
      <x:c r="A63" s="16" t="str">
        <x:v>Беловская ГРЭС</x:v>
      </x:c>
      <x:c r="B63" s="16" t="str">
        <x:v>2000115355-U112</x:v>
      </x:c>
      <x:c r="C63" s="16" t="str">
        <x:v>ПОДШИПНИК 326</x:v>
      </x:c>
      <x:c r="D63" s="16" t="str">
        <x:v>Подшипники</x:v>
      </x:c>
      <x:c r="E63" s="16" t="str">
        <x:v>ШТ</x:v>
      </x:c>
      <x:c r="F63" s="21" t="n">
        <x:v>2</x:v>
      </x:c>
      <x:c r="G63" s="17" t="n">
        <x:v>4405.8348</x:v>
      </x:c>
      <x:c r="H63" s="17" t="n">
        <x:f>G63*F63</x:f>
        <x:v>8811.6696</x:v>
      </x:c>
      <x:c r="I63" s="22" t="str">
        <x:f>HYPERLINK("https://etp-aktiv.ru/catalog/materialy/podshipniki/2000115355-U112/","Открыть позицию")</x:f>
        <x:v>Открыть позицию</x:v>
      </x:c>
    </x:row>
    <x:row r="64" ht="28" customHeight="1">
      <x:c r="A64" s="16" t="str">
        <x:v>Беловская ГРЭС</x:v>
      </x:c>
      <x:c r="B64" s="16" t="str">
        <x:v>2000167478-U112</x:v>
      </x:c>
      <x:c r="C64" s="16" t="str">
        <x:v>ПОДШИПНИК 330Л</x:v>
      </x:c>
      <x:c r="D64" s="16" t="str">
        <x:v>Подшипники</x:v>
      </x:c>
      <x:c r="E64" s="16" t="str">
        <x:v>ШТ</x:v>
      </x:c>
      <x:c r="F64" s="21" t="n">
        <x:v>1</x:v>
      </x:c>
      <x:c r="G64" s="17" t="n">
        <x:v>16998.87</x:v>
      </x:c>
      <x:c r="H64" s="17" t="n">
        <x:f>G64*F64</x:f>
        <x:v>16998.87</x:v>
      </x:c>
      <x:c r="I64" s="22" t="str">
        <x:f>HYPERLINK("https://etp-aktiv.ru/catalog/materialy/podshipniki/2000167478-U112/","Открыть позицию")</x:f>
        <x:v>Открыть позицию</x:v>
      </x:c>
    </x:row>
    <x:row r="65" ht="28" customHeight="1">
      <x:c r="A65" s="16" t="str">
        <x:v>Беловская ГРЭС</x:v>
      </x:c>
      <x:c r="B65" s="16" t="str">
        <x:v>2000116728-U112</x:v>
      </x:c>
      <x:c r="C65" s="16" t="str">
        <x:v>ПОДШИПНИК 3526</x:v>
      </x:c>
      <x:c r="D65" s="16" t="str">
        <x:v>Подшипники</x:v>
      </x:c>
      <x:c r="E65" s="16" t="str">
        <x:v>ШТ</x:v>
      </x:c>
      <x:c r="F65" s="21" t="n">
        <x:v>1</x:v>
      </x:c>
      <x:c r="G65" s="17" t="n">
        <x:v>4899.9958</x:v>
      </x:c>
      <x:c r="H65" s="17" t="n">
        <x:f>G65*F65</x:f>
        <x:v>4899.9958</x:v>
      </x:c>
      <x:c r="I65" s="22" t="str">
        <x:f>HYPERLINK("https://etp-aktiv.ru/catalog/materialy/podshipniki/2000116728-U112/","Открыть позицию")</x:f>
        <x:v>Открыть позицию</x:v>
      </x:c>
    </x:row>
    <x:row r="66" ht="28" customHeight="1">
      <x:c r="A66" s="16" t="str">
        <x:v>Беловская ГРЭС</x:v>
      </x:c>
      <x:c r="B66" s="16" t="str">
        <x:v>2000116608-U112</x:v>
      </x:c>
      <x:c r="C66" s="16" t="str">
        <x:v>ПОДШИПНИК 3608</x:v>
      </x:c>
      <x:c r="D66" s="16" t="str">
        <x:v>Подшипники</x:v>
      </x:c>
      <x:c r="E66" s="16" t="str">
        <x:v>ШТ</x:v>
      </x:c>
      <x:c r="F66" s="21" t="n">
        <x:v>2</x:v>
      </x:c>
      <x:c r="G66" s="17" t="n">
        <x:v>638.2185999999999</x:v>
      </x:c>
      <x:c r="H66" s="17" t="n">
        <x:f>G66*F66</x:f>
        <x:v>1276.4371999999998</x:v>
      </x:c>
      <x:c r="I66" s="22" t="str">
        <x:f>HYPERLINK("https://etp-aktiv.ru/catalog/materialy/podshipniki/2000116608-U112/","Открыть позицию")</x:f>
        <x:v>Открыть позицию</x:v>
      </x:c>
    </x:row>
    <x:row r="67" ht="28" customHeight="1">
      <x:c r="A67" s="16" t="str">
        <x:v>Беловская ГРЭС</x:v>
      </x:c>
      <x:c r="B67" s="16" t="str">
        <x:v>2000116604-U112</x:v>
      </x:c>
      <x:c r="C67" s="16" t="str">
        <x:v>ПОДШИПНИК 3612</x:v>
      </x:c>
      <x:c r="D67" s="16" t="str">
        <x:v>Подшипники</x:v>
      </x:c>
      <x:c r="E67" s="16" t="str">
        <x:v>ШТ</x:v>
      </x:c>
      <x:c r="F67" s="21" t="n">
        <x:v>2</x:v>
      </x:c>
      <x:c r="G67" s="17" t="n">
        <x:v>1399.9987999999998</x:v>
      </x:c>
      <x:c r="H67" s="17" t="n">
        <x:f>G67*F67</x:f>
        <x:v>2799.9975999999997</x:v>
      </x:c>
      <x:c r="I67" s="22" t="str">
        <x:f>HYPERLINK("https://etp-aktiv.ru/catalog/materialy/podshipniki/2000116604-U112/","Открыть позицию")</x:f>
        <x:v>Открыть позицию</x:v>
      </x:c>
    </x:row>
    <x:row r="68" ht="28" customHeight="1">
      <x:c r="A68" s="16" t="str">
        <x:v>Беловская ГРЭС</x:v>
      </x:c>
      <x:c r="B68" s="16" t="str">
        <x:v>2000116619-U112</x:v>
      </x:c>
      <x:c r="C68" s="16" t="str">
        <x:v>ПОДШИПНИК 3613</x:v>
      </x:c>
      <x:c r="D68" s="16" t="str">
        <x:v>Подшипники</x:v>
      </x:c>
      <x:c r="E68" s="16" t="str">
        <x:v>ШТ</x:v>
      </x:c>
      <x:c r="F68" s="21" t="n">
        <x:v>14</x:v>
      </x:c>
      <x:c r="G68" s="17" t="n">
        <x:v>1069.513</x:v>
      </x:c>
      <x:c r="H68" s="17" t="n">
        <x:f>G68*F68</x:f>
        <x:v>14973.181999999999</x:v>
      </x:c>
      <x:c r="I68" s="22" t="str">
        <x:f>HYPERLINK("https://etp-aktiv.ru/catalog/materialy/podshipniki/2000116619-U112/","Открыть позицию")</x:f>
        <x:v>Открыть позицию</x:v>
      </x:c>
    </x:row>
    <x:row r="69" ht="28" customHeight="1">
      <x:c r="A69" s="16" t="str">
        <x:v>Беловская ГРЭС</x:v>
      </x:c>
      <x:c r="B69" s="16" t="str">
        <x:v>2000138687-U112</x:v>
      </x:c>
      <x:c r="C69" s="16" t="str">
        <x:v>ПОДШИПНИК 4024110</x:v>
      </x:c>
      <x:c r="D69" s="16" t="str">
        <x:v>Подшипники</x:v>
      </x:c>
      <x:c r="E69" s="16" t="str">
        <x:v>ШТ</x:v>
      </x:c>
      <x:c r="F69" s="21" t="n">
        <x:v>16</x:v>
      </x:c>
      <x:c r="G69" s="17" t="n">
        <x:v>249.7096</x:v>
      </x:c>
      <x:c r="H69" s="17" t="n">
        <x:f>G69*F69</x:f>
        <x:v>3995.3536</x:v>
      </x:c>
      <x:c r="I69" s="22" t="str">
        <x:f>HYPERLINK("https://etp-aktiv.ru/catalog/materialy/podshipniki/2000138687-U112/","Открыть позицию")</x:f>
        <x:v>Открыть позицию</x:v>
      </x:c>
    </x:row>
    <x:row r="70" ht="28" customHeight="1">
      <x:c r="A70" s="16" t="str">
        <x:v>Беловская ГРЭС</x:v>
      </x:c>
      <x:c r="B70" s="16" t="str">
        <x:v>2000116516-U112</x:v>
      </x:c>
      <x:c r="C70" s="16" t="str">
        <x:v>ПОДШИПНИК 407</x:v>
      </x:c>
      <x:c r="D70" s="16" t="str">
        <x:v>Подшипники</x:v>
      </x:c>
      <x:c r="E70" s="16" t="str">
        <x:v>ШТ</x:v>
      </x:c>
      <x:c r="F70" s="21" t="n">
        <x:v>2</x:v>
      </x:c>
      <x:c r="G70" s="17" t="n">
        <x:v>218.8558</x:v>
      </x:c>
      <x:c r="H70" s="17" t="n">
        <x:f>G70*F70</x:f>
        <x:v>437.7116</x:v>
      </x:c>
      <x:c r="I70" s="22" t="str">
        <x:f>HYPERLINK("https://etp-aktiv.ru/catalog/materialy/podshipniki/2000116516-U112/","Открыть позицию")</x:f>
        <x:v>Открыть позицию</x:v>
      </x:c>
    </x:row>
    <x:row r="71" ht="28" customHeight="1">
      <x:c r="A71" s="16" t="str">
        <x:v>Беловская ГРЭС</x:v>
      </x:c>
      <x:c r="B71" s="16" t="str">
        <x:v>2000116436-U112</x:v>
      </x:c>
      <x:c r="C71" s="16" t="str">
        <x:v>ПОДШИПНИК 408</x:v>
      </x:c>
      <x:c r="D71" s="16" t="str">
        <x:v>Подшипники</x:v>
      </x:c>
      <x:c r="E71" s="16" t="str">
        <x:v>ШТ</x:v>
      </x:c>
      <x:c r="F71" s="21" t="n">
        <x:v>2</x:v>
      </x:c>
      <x:c r="G71" s="17" t="n">
        <x:v>394.9994</x:v>
      </x:c>
      <x:c r="H71" s="17" t="n">
        <x:f>G71*F71</x:f>
        <x:v>789.9988</x:v>
      </x:c>
      <x:c r="I71" s="22" t="str">
        <x:f>HYPERLINK("https://etp-aktiv.ru/catalog/materialy/podshipniki/2000116436-U112/","Открыть позицию")</x:f>
        <x:v>Открыть позицию</x:v>
      </x:c>
    </x:row>
    <x:row r="72" ht="28" customHeight="1">
      <x:c r="A72" s="16" t="str">
        <x:v>Беловская ГРЭС</x:v>
      </x:c>
      <x:c r="B72" s="16" t="str">
        <x:v>2000116489-U112</x:v>
      </x:c>
      <x:c r="C72" s="16" t="str">
        <x:v>ПОДШИПНИК 410</x:v>
      </x:c>
      <x:c r="D72" s="16" t="str">
        <x:v>Подшипники</x:v>
      </x:c>
      <x:c r="E72" s="16" t="str">
        <x:v>ШТ</x:v>
      </x:c>
      <x:c r="F72" s="21" t="n">
        <x:v>14</x:v>
      </x:c>
      <x:c r="G72" s="17" t="n">
        <x:v>470.3954</x:v>
      </x:c>
      <x:c r="H72" s="17" t="n">
        <x:f>G72*F72</x:f>
        <x:v>6585.5356</x:v>
      </x:c>
      <x:c r="I72" s="22" t="str">
        <x:f>HYPERLINK("https://etp-aktiv.ru/catalog/materialy/podshipniki/2000116489-U112/","Открыть позицию")</x:f>
        <x:v>Открыть позицию</x:v>
      </x:c>
    </x:row>
    <x:row r="73" ht="28" customHeight="1">
      <x:c r="A73" s="16" t="str">
        <x:v>Беловская ГРЭС</x:v>
      </x:c>
      <x:c r="B73" s="16" t="str">
        <x:v>2000116662-U112</x:v>
      </x:c>
      <x:c r="C73" s="16" t="str">
        <x:v>ПОДШИПНИК 42616</x:v>
      </x:c>
      <x:c r="D73" s="16" t="str">
        <x:v>Подшипники</x:v>
      </x:c>
      <x:c r="E73" s="16" t="str">
        <x:v>ШТ</x:v>
      </x:c>
      <x:c r="F73" s="21" t="n">
        <x:v>2</x:v>
      </x:c>
      <x:c r="G73" s="17" t="n">
        <x:v>2173.125</x:v>
      </x:c>
      <x:c r="H73" s="17" t="n">
        <x:f>G73*F73</x:f>
        <x:v>4346.25</x:v>
      </x:c>
      <x:c r="I73" s="22" t="str">
        <x:f>HYPERLINK("https://etp-aktiv.ru/catalog/materialy/podshipniki/2000116662-U112/","Открыть позицию")</x:f>
        <x:v>Открыть позицию</x:v>
      </x:c>
    </x:row>
    <x:row r="74" ht="28" customHeight="1">
      <x:c r="A74" s="16" t="str">
        <x:v>Беловская ГРЭС</x:v>
      </x:c>
      <x:c r="B74" s="16" t="str">
        <x:v>2000116725-U112</x:v>
      </x:c>
      <x:c r="C74" s="16" t="str">
        <x:v>ПОДШИПНИК 42620</x:v>
      </x:c>
      <x:c r="D74" s="16" t="str">
        <x:v>Подшипники</x:v>
      </x:c>
      <x:c r="E74" s="16" t="str">
        <x:v>ШТ</x:v>
      </x:c>
      <x:c r="F74" s="21" t="n">
        <x:v>6</x:v>
      </x:c>
      <x:c r="G74" s="17" t="n">
        <x:v>7157.9962</x:v>
      </x:c>
      <x:c r="H74" s="17" t="n">
        <x:f>G74*F74</x:f>
        <x:v>42947.977199999994</x:v>
      </x:c>
      <x:c r="I74" s="22" t="str">
        <x:f>HYPERLINK("https://etp-aktiv.ru/catalog/materialy/podshipniki/2000116725-U112/","Открыть позицию")</x:f>
        <x:v>Открыть позицию</x:v>
      </x:c>
    </x:row>
    <x:row r="75" ht="28" customHeight="1">
      <x:c r="A75" s="16" t="str">
        <x:v>Беловская ГРЭС</x:v>
      </x:c>
      <x:c r="B75" s="16" t="str">
        <x:v>2000116470-U112</x:v>
      </x:c>
      <x:c r="C75" s="16" t="str">
        <x:v>ПОДШИПНИК 46118</x:v>
      </x:c>
      <x:c r="D75" s="16" t="str">
        <x:v>Подшипники</x:v>
      </x:c>
      <x:c r="E75" s="16" t="str">
        <x:v>ШТ</x:v>
      </x:c>
      <x:c r="F75" s="21" t="n">
        <x:v>4</x:v>
      </x:c>
      <x:c r="G75" s="17" t="n">
        <x:v>209.5594</x:v>
      </x:c>
      <x:c r="H75" s="17" t="n">
        <x:f>G75*F75</x:f>
        <x:v>838.2376</x:v>
      </x:c>
      <x:c r="I75" s="22" t="str">
        <x:f>HYPERLINK("https://etp-aktiv.ru/catalog/materialy/podshipniki/2000116470-U112/","Открыть позицию")</x:f>
        <x:v>Открыть позицию</x:v>
      </x:c>
    </x:row>
    <x:row r="76" ht="28" customHeight="1">
      <x:c r="A76" s="16" t="str">
        <x:v>Беловская ГРЭС</x:v>
      </x:c>
      <x:c r="B76" s="16" t="str">
        <x:v>2000116507-U112</x:v>
      </x:c>
      <x:c r="C76" s="16" t="str">
        <x:v>ПОДШИПНИК 46120</x:v>
      </x:c>
      <x:c r="D76" s="16" t="str">
        <x:v>Подшипники</x:v>
      </x:c>
      <x:c r="E76" s="16" t="str">
        <x:v>ШТ</x:v>
      </x:c>
      <x:c r="F76" s="21" t="n">
        <x:v>7</x:v>
      </x:c>
      <x:c r="G76" s="17" t="n">
        <x:v>891.6614</x:v>
      </x:c>
      <x:c r="H76" s="17" t="n">
        <x:f>G76*F76</x:f>
        <x:v>6241.6298</x:v>
      </x:c>
      <x:c r="I76" s="22" t="str">
        <x:f>HYPERLINK("https://etp-aktiv.ru/catalog/materialy/podshipniki/2000116507-U112/","Открыть позицию")</x:f>
        <x:v>Открыть позицию</x:v>
      </x:c>
    </x:row>
    <x:row r="77" ht="28" customHeight="1">
      <x:c r="A77" s="16" t="str">
        <x:v>Беловская ГРЭС</x:v>
      </x:c>
      <x:c r="B77" s="16" t="str">
        <x:v>2000127308-U112</x:v>
      </x:c>
      <x:c r="C77" s="16" t="str">
        <x:v>ПОДШИПНИК 46122</x:v>
      </x:c>
      <x:c r="D77" s="16" t="str">
        <x:v>Подшипники</x:v>
      </x:c>
      <x:c r="E77" s="16" t="str">
        <x:v>ШТ</x:v>
      </x:c>
      <x:c r="F77" s="21" t="n">
        <x:v>7</x:v>
      </x:c>
      <x:c r="G77" s="17" t="n">
        <x:v>1249.8899999999999</x:v>
      </x:c>
      <x:c r="H77" s="17" t="n">
        <x:f>G77*F77</x:f>
        <x:v>8749.23</x:v>
      </x:c>
      <x:c r="I77" s="22" t="str">
        <x:f>HYPERLINK("https://etp-aktiv.ru/catalog/materialy/podshipniki/2000127308-U112/","Открыть позицию")</x:f>
        <x:v>Открыть позицию</x:v>
      </x:c>
    </x:row>
    <x:row r="78" ht="28" customHeight="1">
      <x:c r="A78" s="16" t="str">
        <x:v>Беловская ГРЭС</x:v>
      </x:c>
      <x:c r="B78" s="16" t="str">
        <x:v>2000004680-U112</x:v>
      </x:c>
      <x:c r="C78" s="16" t="str">
        <x:v>ПОДШИПНИК 46310</x:v>
      </x:c>
      <x:c r="D78" s="16" t="str">
        <x:v>Подшипники</x:v>
      </x:c>
      <x:c r="E78" s="16" t="str">
        <x:v>ШТ</x:v>
      </x:c>
      <x:c r="F78" s="21" t="n">
        <x:v>3</x:v>
      </x:c>
      <x:c r="G78" s="17" t="n">
        <x:v>599.0566</x:v>
      </x:c>
      <x:c r="H78" s="17" t="n">
        <x:f>G78*F78</x:f>
        <x:v>1797.1698000000001</x:v>
      </x:c>
      <x:c r="I78" s="22" t="str">
        <x:f>HYPERLINK("https://etp-aktiv.ru/catalog/materialy/podshipniki/2000004680-U112/","Открыть позицию")</x:f>
        <x:v>Открыть позицию</x:v>
      </x:c>
    </x:row>
    <x:row r="79" ht="28" customHeight="1">
      <x:c r="A79" s="16" t="str">
        <x:v>Беловская ГРЭС</x:v>
      </x:c>
      <x:c r="B79" s="16" t="str">
        <x:v>2000116576-U112</x:v>
      </x:c>
      <x:c r="C79" s="16" t="str">
        <x:v>ПОДШИПНИК 46314</x:v>
      </x:c>
      <x:c r="D79" s="16" t="str">
        <x:v>Подшипники</x:v>
      </x:c>
      <x:c r="E79" s="16" t="str">
        <x:v>ШТ</x:v>
      </x:c>
      <x:c r="F79" s="21" t="n">
        <x:v>6</x:v>
      </x:c>
      <x:c r="G79" s="17" t="n">
        <x:v>1316.99</x:v>
      </x:c>
      <x:c r="H79" s="17" t="n">
        <x:f>G79*F79</x:f>
        <x:v>7901.9400000000005</x:v>
      </x:c>
      <x:c r="I79" s="22" t="str">
        <x:f>HYPERLINK("https://etp-aktiv.ru/catalog/materialy/podshipniki/2000116576-U112/","Открыть позицию")</x:f>
        <x:v>Открыть позицию</x:v>
      </x:c>
    </x:row>
    <x:row r="80" ht="28" customHeight="1">
      <x:c r="A80" s="16" t="str">
        <x:v>Беловская ГРЭС</x:v>
      </x:c>
      <x:c r="B80" s="16" t="str">
        <x:v>2000034507-U112</x:v>
      </x:c>
      <x:c r="C80" s="16" t="str">
        <x:v>ПОДШИПНИК 46416</x:v>
      </x:c>
      <x:c r="D80" s="16" t="str">
        <x:v>Подшипники</x:v>
      </x:c>
      <x:c r="E80" s="16" t="str">
        <x:v>ШТ</x:v>
      </x:c>
      <x:c r="F80" s="21" t="n">
        <x:v>4</x:v>
      </x:c>
      <x:c r="G80" s="17" t="n">
        <x:v>3093.3954000000003</x:v>
      </x:c>
      <x:c r="H80" s="17" t="n">
        <x:f>G80*F80</x:f>
        <x:v>12373.581600000001</x:v>
      </x:c>
      <x:c r="I80" s="22" t="str">
        <x:f>HYPERLINK("https://etp-aktiv.ru/catalog/materialy/podshipniki/2000034507-U112/","Открыть позицию")</x:f>
        <x:v>Открыть позицию</x:v>
      </x:c>
    </x:row>
    <x:row r="81" ht="28" customHeight="1">
      <x:c r="A81" s="16" t="str">
        <x:v>Беловская ГРЭС</x:v>
      </x:c>
      <x:c r="B81" s="16" t="str">
        <x:v>2000556707-U112</x:v>
      </x:c>
      <x:c r="C81" s="16" t="str">
        <x:v>ПОДШИПНИК 51111</x:v>
      </x:c>
      <x:c r="D81" s="16" t="str">
        <x:v>Подшипники</x:v>
      </x:c>
      <x:c r="E81" s="16" t="str">
        <x:v>ШТ</x:v>
      </x:c>
      <x:c r="F81" s="21" t="n">
        <x:v>2</x:v>
      </x:c>
      <x:c r="G81" s="17" t="n">
        <x:v>81.6058</x:v>
      </x:c>
      <x:c r="H81" s="17" t="n">
        <x:f>G81*F81</x:f>
        <x:v>163.2116</x:v>
      </x:c>
      <x:c r="I81" s="22" t="str">
        <x:f>HYPERLINK("https://etp-aktiv.ru/catalog/materialy/podshipniki/2000556707-U112/","Открыть позицию")</x:f>
        <x:v>Открыть позицию</x:v>
      </x:c>
    </x:row>
    <x:row r="82" ht="28" customHeight="1">
      <x:c r="A82" s="16" t="str">
        <x:v>Беловская ГРЭС</x:v>
      </x:c>
      <x:c r="B82" s="16" t="str">
        <x:v>2000138694-U112</x:v>
      </x:c>
      <x:c r="C82" s="16" t="str">
        <x:v>ПОДШИПНИК 54708</x:v>
      </x:c>
      <x:c r="D82" s="16" t="str">
        <x:v>Подшипники</x:v>
      </x:c>
      <x:c r="E82" s="16" t="str">
        <x:v>ШТ</x:v>
      </x:c>
      <x:c r="F82" s="21" t="n">
        <x:v>34</x:v>
      </x:c>
      <x:c r="G82" s="17" t="n">
        <x:v>409.1392</x:v>
      </x:c>
      <x:c r="H82" s="17" t="n">
        <x:f>G82*F82</x:f>
        <x:v>13910.7328</x:v>
      </x:c>
      <x:c r="I82" s="22" t="str">
        <x:f>HYPERLINK("https://etp-aktiv.ru/catalog/materialy/podshipniki/2000138694-U112/","Открыть позицию")</x:f>
        <x:v>Открыть позицию</x:v>
      </x:c>
    </x:row>
    <x:row r="83" ht="28" customHeight="1">
      <x:c r="A83" s="16" t="str">
        <x:v>Беловская ГРЭС</x:v>
      </x:c>
      <x:c r="B83" s="16" t="str">
        <x:v>2000008553-U112</x:v>
      </x:c>
      <x:c r="C83" s="16" t="str">
        <x:v>ПОДШИПНИК 6-66314</x:v>
      </x:c>
      <x:c r="D83" s="16" t="str">
        <x:v>Подшипники</x:v>
      </x:c>
      <x:c r="E83" s="16" t="str">
        <x:v>ШТ</x:v>
      </x:c>
      <x:c r="F83" s="21" t="n">
        <x:v>5</x:v>
      </x:c>
      <x:c r="G83" s="17" t="n">
        <x:v>1210.545</x:v>
      </x:c>
      <x:c r="H83" s="17" t="n">
        <x:f>G83*F83</x:f>
        <x:v>6052.725</x:v>
      </x:c>
      <x:c r="I83" s="22" t="str">
        <x:f>HYPERLINK("https://etp-aktiv.ru/catalog/materialy/podshipniki/2000008553-U112/","Открыть позицию")</x:f>
        <x:v>Открыть позицию</x:v>
      </x:c>
    </x:row>
    <x:row r="84" ht="28" customHeight="1">
      <x:c r="A84" s="16" t="str">
        <x:v>Беловская ГРЭС</x:v>
      </x:c>
      <x:c r="B84" s="16" t="str">
        <x:v>2000132099-U112</x:v>
      </x:c>
      <x:c r="C84" s="16" t="str">
        <x:v>ПОДШИПНИК 6-7612А</x:v>
      </x:c>
      <x:c r="D84" s="16" t="str">
        <x:v>Подшипники</x:v>
      </x:c>
      <x:c r="E84" s="16" t="str">
        <x:v>ШТ</x:v>
      </x:c>
      <x:c r="F84" s="21" t="n">
        <x:v>34</x:v>
      </x:c>
      <x:c r="G84" s="17" t="n">
        <x:v>421.9126</x:v>
      </x:c>
      <x:c r="H84" s="17" t="n">
        <x:f>G84*F84</x:f>
        <x:v>14345.0284</x:v>
      </x:c>
      <x:c r="I84" s="22" t="str">
        <x:f>HYPERLINK("https://etp-aktiv.ru/catalog/materialy/podshipniki/2000132099-U112/","Открыть позицию")</x:f>
        <x:v>Открыть позицию</x:v>
      </x:c>
    </x:row>
    <x:row r="85" ht="28" customHeight="1">
      <x:c r="A85" s="16" t="str">
        <x:v>Беловская ГРЭС</x:v>
      </x:c>
      <x:c r="B85" s="16" t="str">
        <x:v>2000116745-U112</x:v>
      </x:c>
      <x:c r="C85" s="16" t="str">
        <x:v>ПОДШИПНИК 6022</x:v>
      </x:c>
      <x:c r="D85" s="16" t="str">
        <x:v>Подшипники</x:v>
      </x:c>
      <x:c r="E85" s="16" t="str">
        <x:v>ШТ</x:v>
      </x:c>
      <x:c r="F85" s="21" t="n">
        <x:v>1</x:v>
      </x:c>
      <x:c r="G85" s="17" t="n">
        <x:v>3577.65</x:v>
      </x:c>
      <x:c r="H85" s="17" t="n">
        <x:f>G85*F85</x:f>
        <x:v>3577.65</x:v>
      </x:c>
      <x:c r="I85" s="22" t="str">
        <x:f>HYPERLINK("https://etp-aktiv.ru/catalog/materialy/podshipniki/2000116745-U112/","Открыть позицию")</x:f>
        <x:v>Открыть позицию</x:v>
      </x:c>
    </x:row>
    <x:row r="86" ht="28" customHeight="1">
      <x:c r="A86" s="16" t="str">
        <x:v>Беловская ГРЭС</x:v>
      </x:c>
      <x:c r="B86" s="16" t="str">
        <x:v>2000115324-U112</x:v>
      </x:c>
      <x:c r="C86" s="16" t="str">
        <x:v>ПОДШИПНИК 60304</x:v>
      </x:c>
      <x:c r="D86" s="16" t="str">
        <x:v>Подшипники</x:v>
      </x:c>
      <x:c r="E86" s="16" t="str">
        <x:v>ШТ</x:v>
      </x:c>
      <x:c r="F86" s="21" t="n">
        <x:v>1</x:v>
      </x:c>
      <x:c r="G86" s="17" t="n">
        <x:v>32.1104</x:v>
      </x:c>
      <x:c r="H86" s="17" t="n">
        <x:f>G86*F86</x:f>
        <x:v>32.1104</x:v>
      </x:c>
      <x:c r="I86" s="22" t="str">
        <x:f>HYPERLINK("https://etp-aktiv.ru/catalog/materialy/podshipniki/2000115324-U112/","Открыть позицию")</x:f>
        <x:v>Открыть позицию</x:v>
      </x:c>
    </x:row>
    <x:row r="87" ht="28" customHeight="1">
      <x:c r="A87" s="16" t="str">
        <x:v>Беловская ГРЭС</x:v>
      </x:c>
      <x:c r="B87" s="16" t="str">
        <x:v>2000034566-U112</x:v>
      </x:c>
      <x:c r="C87" s="16" t="str">
        <x:v>ПОДШИПНИК 6202</x:v>
      </x:c>
      <x:c r="D87" s="16" t="str">
        <x:v>Подшипники</x:v>
      </x:c>
      <x:c r="E87" s="16" t="str">
        <x:v>ШТ</x:v>
      </x:c>
      <x:c r="F87" s="21" t="n">
        <x:v>15</x:v>
      </x:c>
      <x:c r="G87" s="17" t="n">
        <x:v>14.8474</x:v>
      </x:c>
      <x:c r="H87" s="17" t="n">
        <x:f>G87*F87</x:f>
        <x:v>222.711</x:v>
      </x:c>
      <x:c r="I87" s="22" t="str">
        <x:f>HYPERLINK("https://etp-aktiv.ru/catalog/materialy/podshipniki/2000034566-U112/","Открыть позицию")</x:f>
        <x:v>Открыть позицию</x:v>
      </x:c>
    </x:row>
    <x:row r="88" ht="28" customHeight="1">
      <x:c r="A88" s="16" t="str">
        <x:v>Беловская ГРЭС</x:v>
      </x:c>
      <x:c r="B88" s="16" t="str">
        <x:v>2000127175-U112</x:v>
      </x:c>
      <x:c r="C88" s="16" t="str">
        <x:v>ПОДШИПНИК 6214</x:v>
      </x:c>
      <x:c r="D88" s="16" t="str">
        <x:v>Подшипники</x:v>
      </x:c>
      <x:c r="E88" s="16" t="str">
        <x:v>ШТ</x:v>
      </x:c>
      <x:c r="F88" s="21" t="n">
        <x:v>4</x:v>
      </x:c>
      <x:c r="G88" s="17" t="n">
        <x:v>259.4086</x:v>
      </x:c>
      <x:c r="H88" s="17" t="n">
        <x:f>G88*F88</x:f>
        <x:v>1037.6344</x:v>
      </x:c>
      <x:c r="I88" s="22" t="str">
        <x:f>HYPERLINK("https://etp-aktiv.ru/catalog/materialy/podshipniki/2000127175-U112/","Открыть позицию")</x:f>
        <x:v>Открыть позицию</x:v>
      </x:c>
    </x:row>
    <x:row r="89" ht="28" customHeight="1">
      <x:c r="A89" s="16" t="str">
        <x:v>Беловская ГРЭС</x:v>
      </x:c>
      <x:c r="B89" s="16" t="str">
        <x:v>2000170566-U112</x:v>
      </x:c>
      <x:c r="C89" s="16" t="str">
        <x:v>ПОДШИПНИК 6309-2Z/C3</x:v>
      </x:c>
      <x:c r="D89" s="16" t="str">
        <x:v>Подшипники</x:v>
      </x:c>
      <x:c r="E89" s="16" t="str">
        <x:v>ШТ</x:v>
      </x:c>
      <x:c r="F89" s="21" t="n">
        <x:v>7</x:v>
      </x:c>
      <x:c r="G89" s="17" t="n">
        <x:v>754.3870000000001</x:v>
      </x:c>
      <x:c r="H89" s="17" t="n">
        <x:f>G89*F89</x:f>
        <x:v>5280.709000000001</x:v>
      </x:c>
      <x:c r="I89" s="22" t="str">
        <x:f>HYPERLINK("https://etp-aktiv.ru/catalog/materialy/podshipniki/2000170566-U112/","Открыть позицию")</x:f>
        <x:v>Открыть позицию</x:v>
      </x:c>
    </x:row>
    <x:row r="90" ht="28" customHeight="1">
      <x:c r="A90" s="16" t="str">
        <x:v>Беловская ГРЭС</x:v>
      </x:c>
      <x:c r="B90" s="16" t="str">
        <x:v>2000073275-U112</x:v>
      </x:c>
      <x:c r="C90" s="16" t="str">
        <x:v>ПОДШИПНИК 66406</x:v>
      </x:c>
      <x:c r="D90" s="16" t="str">
        <x:v>Подшипники</x:v>
      </x:c>
      <x:c r="E90" s="16" t="str">
        <x:v>ШТ</x:v>
      </x:c>
      <x:c r="F90" s="21" t="n">
        <x:v>2</x:v>
      </x:c>
      <x:c r="G90" s="17" t="n">
        <x:v>525.0025999999999</x:v>
      </x:c>
      <x:c r="H90" s="17" t="n">
        <x:f>G90*F90</x:f>
        <x:v>1050.0051999999998</x:v>
      </x:c>
      <x:c r="I90" s="22" t="str">
        <x:f>HYPERLINK("https://etp-aktiv.ru/catalog/materialy/podshipniki/2000073275-U112/","Открыть позицию")</x:f>
        <x:v>Открыть позицию</x:v>
      </x:c>
    </x:row>
    <x:row r="91" ht="28" customHeight="1">
      <x:c r="A91" s="16" t="str">
        <x:v>Беловская ГРЭС</x:v>
      </x:c>
      <x:c r="B91" s="16" t="str">
        <x:v>2000116355-U112</x:v>
      </x:c>
      <x:c r="C91" s="16" t="str">
        <x:v>ПОДШИПНИК 7205</x:v>
      </x:c>
      <x:c r="D91" s="16" t="str">
        <x:v>Подшипники</x:v>
      </x:c>
      <x:c r="E91" s="16" t="str">
        <x:v>ШТ</x:v>
      </x:c>
      <x:c r="F91" s="21" t="n">
        <x:v>2</x:v>
      </x:c>
      <x:c r="G91" s="17" t="n">
        <x:v>80.764</x:v>
      </x:c>
      <x:c r="H91" s="17" t="n">
        <x:f>G91*F91</x:f>
        <x:v>161.528</x:v>
      </x:c>
      <x:c r="I91" s="22" t="str">
        <x:f>HYPERLINK("https://etp-aktiv.ru/catalog/materialy/podshipniki/2000116355-U112/","Открыть позицию")</x:f>
        <x:v>Открыть позицию</x:v>
      </x:c>
    </x:row>
    <x:row r="92" ht="28" customHeight="1">
      <x:c r="A92" s="16" t="str">
        <x:v>Беловская ГРЭС</x:v>
      </x:c>
      <x:c r="B92" s="16" t="str">
        <x:v>2000009428-U112</x:v>
      </x:c>
      <x:c r="C92" s="16" t="str">
        <x:v>ПОДШИПНИК 7230</x:v>
      </x:c>
      <x:c r="D92" s="16" t="str">
        <x:v>Подшипники</x:v>
      </x:c>
      <x:c r="E92" s="16" t="str">
        <x:v>ШТ</x:v>
      </x:c>
      <x:c r="F92" s="21" t="n">
        <x:v>8</x:v>
      </x:c>
      <x:c r="G92" s="17" t="n">
        <x:v>1619.6842</x:v>
      </x:c>
      <x:c r="H92" s="17" t="n">
        <x:f>G92*F92</x:f>
        <x:v>12957.4736</x:v>
      </x:c>
      <x:c r="I92" s="22" t="str">
        <x:f>HYPERLINK("https://etp-aktiv.ru/catalog/materialy/podshipniki/2000009428-U112/","Открыть позицию")</x:f>
        <x:v>Открыть позицию</x:v>
      </x:c>
    </x:row>
    <x:row r="93" ht="28" customHeight="1">
      <x:c r="A93" s="16" t="str">
        <x:v>Беловская ГРЭС</x:v>
      </x:c>
      <x:c r="B93" s="16" t="str">
        <x:v>2000736876-U112</x:v>
      </x:c>
      <x:c r="C93" s="16" t="str">
        <x:v>ПОДШИПНИК 7308A</x:v>
      </x:c>
      <x:c r="D93" s="16" t="str">
        <x:v>Подшипники</x:v>
      </x:c>
      <x:c r="E93" s="16" t="str">
        <x:v>ШТ</x:v>
      </x:c>
      <x:c r="F93" s="21" t="n">
        <x:v>2</x:v>
      </x:c>
      <x:c r="G93" s="17" t="n">
        <x:v>525.0025999999999</x:v>
      </x:c>
      <x:c r="H93" s="17" t="n">
        <x:f>G93*F93</x:f>
        <x:v>1050.0051999999998</x:v>
      </x:c>
      <x:c r="I93" s="22" t="str">
        <x:f>HYPERLINK("https://etp-aktiv.ru/catalog/materialy/podshipniki/2000736876-U112/","Открыть позицию")</x:f>
        <x:v>Открыть позицию</x:v>
      </x:c>
    </x:row>
    <x:row r="94" ht="28" customHeight="1">
      <x:c r="A94" s="16" t="str">
        <x:v>Беловская ГРЭС</x:v>
      </x:c>
      <x:c r="B94" s="16" t="str">
        <x:v>2000034634-U112</x:v>
      </x:c>
      <x:c r="C94" s="16" t="str">
        <x:v>ПОДШИПНИК 7320</x:v>
      </x:c>
      <x:c r="D94" s="16" t="str">
        <x:v>Подшипники</x:v>
      </x:c>
      <x:c r="E94" s="16" t="str">
        <x:v>ШТ</x:v>
      </x:c>
      <x:c r="F94" s="21" t="n">
        <x:v>2</x:v>
      </x:c>
      <x:c r="G94" s="17" t="n">
        <x:v>2648.9249999999997</x:v>
      </x:c>
      <x:c r="H94" s="17" t="n">
        <x:f>G94*F94</x:f>
        <x:v>5297.849999999999</x:v>
      </x:c>
      <x:c r="I94" s="22" t="str">
        <x:f>HYPERLINK("https://etp-aktiv.ru/catalog/materialy/podshipniki/2000034634-U112/","Открыть позицию")</x:f>
        <x:v>Открыть позицию</x:v>
      </x:c>
    </x:row>
    <x:row r="95" ht="28" customHeight="1">
      <x:c r="A95" s="16" t="str">
        <x:v>Беловская ГРЭС</x:v>
      </x:c>
      <x:c r="B95" s="16" t="str">
        <x:v>2000116493-U112</x:v>
      </x:c>
      <x:c r="C95" s="16" t="str">
        <x:v>ПОДШИПНИК 7514</x:v>
      </x:c>
      <x:c r="D95" s="16" t="str">
        <x:v>Подшипники</x:v>
      </x:c>
      <x:c r="E95" s="16" t="str">
        <x:v>ШТ</x:v>
      </x:c>
      <x:c r="F95" s="21" t="n">
        <x:v>8</x:v>
      </x:c>
      <x:c r="G95" s="17" t="n">
        <x:v>695.0096</x:v>
      </x:c>
      <x:c r="H95" s="17" t="n">
        <x:f>G95*F95</x:f>
        <x:v>5560.0768</x:v>
      </x:c>
      <x:c r="I95" s="22" t="str">
        <x:f>HYPERLINK("https://etp-aktiv.ru/catalog/materialy/podshipniki/2000116493-U112/","Открыть позицию")</x:f>
        <x:v>Открыть позицию</x:v>
      </x:c>
    </x:row>
    <x:row r="96" ht="28" customHeight="1">
      <x:c r="A96" s="16" t="str">
        <x:v>Беловская ГРЭС</x:v>
      </x:c>
      <x:c r="B96" s="16" t="str">
        <x:v>2000116672-U112</x:v>
      </x:c>
      <x:c r="C96" s="16" t="str">
        <x:v>ПОДШИПНИК 7528</x:v>
      </x:c>
      <x:c r="D96" s="16" t="str">
        <x:v>Подшипники</x:v>
      </x:c>
      <x:c r="E96" s="16" t="str">
        <x:v>ШТ</x:v>
      </x:c>
      <x:c r="F96" s="21" t="n">
        <x:v>10</x:v>
      </x:c>
      <x:c r="G96" s="17" t="n">
        <x:v>3197.2295999999997</x:v>
      </x:c>
      <x:c r="H96" s="17" t="n">
        <x:f>G96*F96</x:f>
        <x:v>31972.295999999995</x:v>
      </x:c>
      <x:c r="I96" s="22" t="str">
        <x:f>HYPERLINK("https://etp-aktiv.ru/catalog/materialy/podshipniki/2000116672-U112/","Открыть позицию")</x:f>
        <x:v>Открыть позицию</x:v>
      </x:c>
    </x:row>
    <x:row r="97" ht="28" customHeight="1">
      <x:c r="A97" s="16" t="str">
        <x:v>Беловская ГРЭС</x:v>
      </x:c>
      <x:c r="B97" s="16" t="str">
        <x:v>2000116717-U112</x:v>
      </x:c>
      <x:c r="C97" s="16" t="str">
        <x:v>ПОДШИПНИК 7530</x:v>
      </x:c>
      <x:c r="D97" s="16" t="str">
        <x:v>Подшипники</x:v>
      </x:c>
      <x:c r="E97" s="16" t="str">
        <x:v>ШТ</x:v>
      </x:c>
      <x:c r="F97" s="21" t="n">
        <x:v>3</x:v>
      </x:c>
      <x:c r="G97" s="17" t="n">
        <x:v>1354.9808</x:v>
      </x:c>
      <x:c r="H97" s="17" t="n">
        <x:f>G97*F97</x:f>
        <x:v>4064.9424</x:v>
      </x:c>
      <x:c r="I97" s="22" t="str">
        <x:f>HYPERLINK("https://etp-aktiv.ru/catalog/materialy/podshipniki/2000116717-U112/","Открыть позицию")</x:f>
        <x:v>Открыть позицию</x:v>
      </x:c>
    </x:row>
    <x:row r="98" ht="28" customHeight="1">
      <x:c r="A98" s="16" t="str">
        <x:v>Беловская ГРЭС</x:v>
      </x:c>
      <x:c r="B98" s="16" t="str">
        <x:v>2000116715-U112</x:v>
      </x:c>
      <x:c r="C98" s="16" t="str">
        <x:v>ПОДШИПНИК 7624</x:v>
      </x:c>
      <x:c r="D98" s="16" t="str">
        <x:v>Подшипники</x:v>
      </x:c>
      <x:c r="E98" s="16" t="str">
        <x:v>ШТ</x:v>
      </x:c>
      <x:c r="F98" s="21" t="n">
        <x:v>1</x:v>
      </x:c>
      <x:c r="G98" s="17" t="n">
        <x:v>5450.008400000001</x:v>
      </x:c>
      <x:c r="H98" s="17" t="n">
        <x:f>G98*F98</x:f>
        <x:v>5450.008400000001</x:v>
      </x:c>
      <x:c r="I98" s="22" t="str">
        <x:f>HYPERLINK("https://etp-aktiv.ru/catalog/materialy/podshipniki/2000116715-U112/","Открыть позицию")</x:f>
        <x:v>Открыть позицию</x:v>
      </x:c>
    </x:row>
    <x:row r="99" ht="28" customHeight="1">
      <x:c r="A99" s="16" t="str">
        <x:v>Беловская ГРЭС</x:v>
      </x:c>
      <x:c r="B99" s="16" t="str">
        <x:v>2000175114-U112</x:v>
      </x:c>
      <x:c r="C99" s="16" t="str">
        <x:v>ПОДШИПНИК 76307Е</x:v>
      </x:c>
      <x:c r="D99" s="16" t="str">
        <x:v>Подшипники</x:v>
      </x:c>
      <x:c r="E99" s="16" t="str">
        <x:v>ШТ</x:v>
      </x:c>
      <x:c r="F99" s="21" t="n">
        <x:v>1</x:v>
      </x:c>
      <x:c r="G99" s="17" t="n">
        <x:v>228.62800000000001</x:v>
      </x:c>
      <x:c r="H99" s="17" t="n">
        <x:f>G99*F99</x:f>
        <x:v>228.62800000000001</x:v>
      </x:c>
      <x:c r="I99" s="22" t="str">
        <x:f>HYPERLINK("https://etp-aktiv.ru/catalog/materialy/podshipniki/2000175114-U112/","Открыть позицию")</x:f>
        <x:v>Открыть позицию</x:v>
      </x:c>
    </x:row>
    <x:row r="100" ht="28" customHeight="1">
      <x:c r="A100" s="16" t="str">
        <x:v>Беловская ГРЭС</x:v>
      </x:c>
      <x:c r="B100" s="16" t="str">
        <x:v>2000556551-U112</x:v>
      </x:c>
      <x:c r="C100" s="16" t="str">
        <x:v>ПОДШИПНИК 80124</x:v>
      </x:c>
      <x:c r="D100" s="16" t="str">
        <x:v>Подшипники</x:v>
      </x:c>
      <x:c r="E100" s="16" t="str">
        <x:v>ШТ</x:v>
      </x:c>
      <x:c r="F100" s="21" t="n">
        <x:v>31</x:v>
      </x:c>
      <x:c r="G100" s="17" t="n">
        <x:v>1525</x:v>
      </x:c>
      <x:c r="H100" s="17" t="n">
        <x:f>G100*F100</x:f>
        <x:v>47275</x:v>
      </x:c>
      <x:c r="I100" s="22" t="str">
        <x:f>HYPERLINK("https://etp-aktiv.ru/catalog/materialy/podshipniki/2000556551-U112/","Открыть позицию")</x:f>
        <x:v>Открыть позицию</x:v>
      </x:c>
    </x:row>
    <x:row r="101" ht="28" customHeight="1">
      <x:c r="A101" s="16" t="str">
        <x:v>Беловская ГРЭС</x:v>
      </x:c>
      <x:c r="B101" s="16" t="str">
        <x:v>2000116343-U112</x:v>
      </x:c>
      <x:c r="C101" s="16" t="str">
        <x:v>ПОДШИПНИК 8104</x:v>
      </x:c>
      <x:c r="D101" s="16" t="str">
        <x:v>Подшипники</x:v>
      </x:c>
      <x:c r="E101" s="16" t="str">
        <x:v>ШТ</x:v>
      </x:c>
      <x:c r="F101" s="21" t="n">
        <x:v>2</x:v>
      </x:c>
      <x:c r="G101" s="17" t="n">
        <x:v>26.2666</x:v>
      </x:c>
      <x:c r="H101" s="17" t="n">
        <x:f>G101*F101</x:f>
        <x:v>52.5332</x:v>
      </x:c>
      <x:c r="I101" s="22" t="str">
        <x:f>HYPERLINK("https://etp-aktiv.ru/catalog/materialy/podshipniki/2000116343-U112/","Открыть позицию")</x:f>
        <x:v>Открыть позицию</x:v>
      </x:c>
    </x:row>
    <x:row r="102" ht="28" customHeight="1">
      <x:c r="A102" s="16" t="str">
        <x:v>Беловская ГРЭС</x:v>
      </x:c>
      <x:c r="B102" s="16" t="str">
        <x:v>2000116317-U112</x:v>
      </x:c>
      <x:c r="C102" s="16" t="str">
        <x:v>ПОДШИПНИК 8105</x:v>
      </x:c>
      <x:c r="D102" s="16" t="str">
        <x:v>Подшипники</x:v>
      </x:c>
      <x:c r="E102" s="16" t="str">
        <x:v>ШТ</x:v>
      </x:c>
      <x:c r="F102" s="21" t="n">
        <x:v>2</x:v>
      </x:c>
      <x:c r="G102" s="17" t="n">
        <x:v>35.6362</x:v>
      </x:c>
      <x:c r="H102" s="17" t="n">
        <x:f>G102*F102</x:f>
        <x:v>71.2724</x:v>
      </x:c>
      <x:c r="I102" s="22" t="str">
        <x:f>HYPERLINK("https://etp-aktiv.ru/catalog/materialy/podshipniki/2000116317-U112/","Открыть позицию")</x:f>
        <x:v>Открыть позицию</x:v>
      </x:c>
    </x:row>
    <x:row r="103" ht="28" customHeight="1">
      <x:c r="A103" s="16" t="str">
        <x:v>Беловская ГРЭС</x:v>
      </x:c>
      <x:c r="B103" s="16" t="str">
        <x:v>2000116325-U112</x:v>
      </x:c>
      <x:c r="C103" s="16" t="str">
        <x:v>ПОДШИПНИК 8106</x:v>
      </x:c>
      <x:c r="D103" s="16" t="str">
        <x:v>Подшипники</x:v>
      </x:c>
      <x:c r="E103" s="16" t="str">
        <x:v>ШТ</x:v>
      </x:c>
      <x:c r="F103" s="21" t="n">
        <x:v>2</x:v>
      </x:c>
      <x:c r="G103" s="17" t="n">
        <x:v>41.2726</x:v>
      </x:c>
      <x:c r="H103" s="17" t="n">
        <x:f>G103*F103</x:f>
        <x:v>82.5452</x:v>
      </x:c>
      <x:c r="I103" s="22" t="str">
        <x:f>HYPERLINK("https://etp-aktiv.ru/catalog/materialy/podshipniki/2000116325-U112/","Открыть позицию")</x:f>
        <x:v>Открыть позицию</x:v>
      </x:c>
    </x:row>
    <x:row r="104" ht="28" customHeight="1">
      <x:c r="A104" s="16" t="str">
        <x:v>Беловская ГРЭС</x:v>
      </x:c>
      <x:c r="B104" s="16" t="str">
        <x:v>2000116475-U112</x:v>
      </x:c>
      <x:c r="C104" s="16" t="str">
        <x:v>ПОДШИПНИК 8113</x:v>
      </x:c>
      <x:c r="D104" s="16" t="str">
        <x:v>Подшипники</x:v>
      </x:c>
      <x:c r="E104" s="16" t="str">
        <x:v>ШТ</x:v>
      </x:c>
      <x:c r="F104" s="21" t="n">
        <x:v>4</x:v>
      </x:c>
      <x:c r="G104" s="17" t="n">
        <x:v>150.975</x:v>
      </x:c>
      <x:c r="H104" s="17" t="n">
        <x:f>G104*F104</x:f>
        <x:v>603.9</x:v>
      </x:c>
      <x:c r="I104" s="22" t="str">
        <x:f>HYPERLINK("https://etp-aktiv.ru/catalog/materialy/podshipniki/2000116475-U112/","Открыть позицию")</x:f>
        <x:v>Открыть позицию</x:v>
      </x:c>
    </x:row>
    <x:row r="105" ht="28" customHeight="1">
      <x:c r="A105" s="16" t="str">
        <x:v>Беловская ГРЭС</x:v>
      </x:c>
      <x:c r="B105" s="16" t="str">
        <x:v>2000034671-U112</x:v>
      </x:c>
      <x:c r="C105" s="16" t="str">
        <x:v>ПОДШИПНИК 8117</x:v>
      </x:c>
      <x:c r="D105" s="16" t="str">
        <x:v>Подшипники</x:v>
      </x:c>
      <x:c r="E105" s="16" t="str">
        <x:v>ШТ</x:v>
      </x:c>
      <x:c r="F105" s="21" t="n">
        <x:v>4</x:v>
      </x:c>
      <x:c r="G105" s="17" t="n">
        <x:v>277.245</x:v>
      </x:c>
      <x:c r="H105" s="17" t="n">
        <x:f>G105*F105</x:f>
        <x:v>1108.98</x:v>
      </x:c>
      <x:c r="I105" s="22" t="str">
        <x:f>HYPERLINK("https://etp-aktiv.ru/catalog/materialy/podshipniki/2000034671-U112/","Открыть позицию")</x:f>
        <x:v>Открыть позицию</x:v>
      </x:c>
    </x:row>
    <x:row r="106" ht="28" customHeight="1">
      <x:c r="A106" s="16" t="str">
        <x:v>Беловская ГРЭС</x:v>
      </x:c>
      <x:c r="B106" s="16" t="str">
        <x:v>2000116427-U112</x:v>
      </x:c>
      <x:c r="C106" s="16" t="str">
        <x:v>ПОДШИПНИК 8208</x:v>
      </x:c>
      <x:c r="D106" s="16" t="str">
        <x:v>Подшипники</x:v>
      </x:c>
      <x:c r="E106" s="16" t="str">
        <x:v>ШТ</x:v>
      </x:c>
      <x:c r="F106" s="21" t="n">
        <x:v>2</x:v>
      </x:c>
      <x:c r="G106" s="17" t="n">
        <x:v>103.1632</x:v>
      </x:c>
      <x:c r="H106" s="17" t="n">
        <x:f>G106*F106</x:f>
        <x:v>206.3264</x:v>
      </x:c>
      <x:c r="I106" s="22" t="str">
        <x:f>HYPERLINK("https://etp-aktiv.ru/catalog/materialy/podshipniki/2000116427-U112/","Открыть позицию")</x:f>
        <x:v>Открыть позицию</x:v>
      </x:c>
    </x:row>
    <x:row r="107" ht="28" customHeight="1">
      <x:c r="A107" s="16" t="str">
        <x:v>Беловская ГРЭС</x:v>
      </x:c>
      <x:c r="B107" s="16" t="str">
        <x:v>2000116356-U112</x:v>
      </x:c>
      <x:c r="C107" s="16" t="str">
        <x:v>ПОДШИПНИК 8209</x:v>
      </x:c>
      <x:c r="D107" s="16" t="str">
        <x:v>Подшипники</x:v>
      </x:c>
      <x:c r="E107" s="16" t="str">
        <x:v>ШТ</x:v>
      </x:c>
      <x:c r="F107" s="21" t="n">
        <x:v>2</x:v>
      </x:c>
      <x:c r="G107" s="17" t="n">
        <x:v>66.5998</x:v>
      </x:c>
      <x:c r="H107" s="17" t="n">
        <x:f>G107*F107</x:f>
        <x:v>133.1996</x:v>
      </x:c>
      <x:c r="I107" s="22" t="str">
        <x:f>HYPERLINK("https://etp-aktiv.ru/catalog/materialy/podshipniki/2000116356-U112/","Открыть позицию")</x:f>
        <x:v>Открыть позицию</x:v>
      </x:c>
    </x:row>
    <x:row r="108" ht="28" customHeight="1">
      <x:c r="A108" s="16" t="str">
        <x:v>Беловская ГРЭС</x:v>
      </x:c>
      <x:c r="B108" s="16" t="str">
        <x:v>2000006206-U112</x:v>
      </x:c>
      <x:c r="C108" s="16" t="str">
        <x:v>ПОДШИПНИК 8213</x:v>
      </x:c>
      <x:c r="D108" s="16" t="str">
        <x:v>Подшипники</x:v>
      </x:c>
      <x:c r="E108" s="16" t="str">
        <x:v>ШТ</x:v>
      </x:c>
      <x:c r="F108" s="21" t="n">
        <x:v>9</x:v>
      </x:c>
      <x:c r="G108" s="17" t="n">
        <x:v>239.1932</x:v>
      </x:c>
      <x:c r="H108" s="17" t="n">
        <x:f>G108*F108</x:f>
        <x:v>2152.7388</x:v>
      </x:c>
      <x:c r="I108" s="22" t="str">
        <x:f>HYPERLINK("https://etp-aktiv.ru/catalog/materialy/podshipniki/2000006206-U112/","Открыть позицию")</x:f>
        <x:v>Открыть позицию</x:v>
      </x:c>
    </x:row>
    <x:row r="109" ht="28" customHeight="1">
      <x:c r="A109" s="16" t="str">
        <x:v>Беловская ГРЭС</x:v>
      </x:c>
      <x:c r="B109" s="16" t="str">
        <x:v>2000006837-U112</x:v>
      </x:c>
      <x:c r="C109" s="16" t="str">
        <x:v>ПОДШИПНИК 8215</x:v>
      </x:c>
      <x:c r="D109" s="16" t="str">
        <x:v>Подшипники</x:v>
      </x:c>
      <x:c r="E109" s="16" t="str">
        <x:v>ШТ</x:v>
      </x:c>
      <x:c r="F109" s="21" t="n">
        <x:v>5</x:v>
      </x:c>
      <x:c r="G109" s="17" t="n">
        <x:v>449.997</x:v>
      </x:c>
      <x:c r="H109" s="17" t="n">
        <x:f>G109*F109</x:f>
        <x:v>2249.985</x:v>
      </x:c>
      <x:c r="I109" s="22" t="str">
        <x:f>HYPERLINK("https://etp-aktiv.ru/catalog/materialy/podshipniki/2000006837-U112/","Открыть позицию")</x:f>
        <x:v>Открыть позицию</x:v>
      </x:c>
    </x:row>
    <x:row r="110" ht="28" customHeight="1">
      <x:c r="A110" s="16" t="str">
        <x:v>Беловская ГРЭС</x:v>
      </x:c>
      <x:c r="B110" s="16" t="str">
        <x:v>2000127346-U112</x:v>
      </x:c>
      <x:c r="C110" s="16" t="str">
        <x:v>ПОДШИПНИК 8217</x:v>
      </x:c>
      <x:c r="D110" s="16" t="str">
        <x:v>Подшипники</x:v>
      </x:c>
      <x:c r="E110" s="16" t="str">
        <x:v>ШТ</x:v>
      </x:c>
      <x:c r="F110" s="21" t="n">
        <x:v>4</x:v>
      </x:c>
      <x:c r="G110" s="17" t="n">
        <x:v>695.0096</x:v>
      </x:c>
      <x:c r="H110" s="17" t="n">
        <x:f>G110*F110</x:f>
        <x:v>2780.0384</x:v>
      </x:c>
      <x:c r="I110" s="22" t="str">
        <x:f>HYPERLINK("https://etp-aktiv.ru/catalog/materialy/podshipniki/2000127346-U112/","Открыть позицию")</x:f>
        <x:v>Открыть позицию</x:v>
      </x:c>
    </x:row>
    <x:row r="111" ht="28" customHeight="1">
      <x:c r="A111" s="16" t="str">
        <x:v>Беловская ГРЭС</x:v>
      </x:c>
      <x:c r="B111" s="16" t="str">
        <x:v>2000127355-U112</x:v>
      </x:c>
      <x:c r="C111" s="16" t="str">
        <x:v>ПОДШИПНИК 8222</x:v>
      </x:c>
      <x:c r="D111" s="16" t="str">
        <x:v>Подшипники</x:v>
      </x:c>
      <x:c r="E111" s="16" t="str">
        <x:v>ШТ</x:v>
      </x:c>
      <x:c r="F111" s="21" t="n">
        <x:v>19</x:v>
      </x:c>
      <x:c r="G111" s="17" t="n">
        <x:v>1015.345</x:v>
      </x:c>
      <x:c r="H111" s="17" t="n">
        <x:f>G111*F111</x:f>
        <x:v>19291.555</x:v>
      </x:c>
      <x:c r="I111" s="22" t="str">
        <x:f>HYPERLINK("https://etp-aktiv.ru/catalog/materialy/podshipniki/2000127355-U112/","Открыть позицию")</x:f>
        <x:v>Открыть позицию</x:v>
      </x:c>
    </x:row>
    <x:row r="112" ht="28" customHeight="1">
      <x:c r="A112" s="16" t="str">
        <x:v>Беловская ГРЭС</x:v>
      </x:c>
      <x:c r="B112" s="16" t="str">
        <x:v>2000116589-U112</x:v>
      </x:c>
      <x:c r="C112" s="16" t="str">
        <x:v>ПОДШИПНИК 8224</x:v>
      </x:c>
      <x:c r="D112" s="16" t="str">
        <x:v>Подшипники</x:v>
      </x:c>
      <x:c r="E112" s="16" t="str">
        <x:v>ШТ</x:v>
      </x:c>
      <x:c r="F112" s="21" t="n">
        <x:v>26</x:v>
      </x:c>
      <x:c r="G112" s="17" t="n">
        <x:v>953.3323999999999</x:v>
      </x:c>
      <x:c r="H112" s="17" t="n">
        <x:f>G112*F112</x:f>
        <x:v>24786.642399999997</x:v>
      </x:c>
      <x:c r="I112" s="22" t="str">
        <x:f>HYPERLINK("https://etp-aktiv.ru/catalog/materialy/podshipniki/2000116589-U112/","Открыть позицию")</x:f>
        <x:v>Открыть позицию</x:v>
      </x:c>
    </x:row>
    <x:row r="113" ht="28" customHeight="1">
      <x:c r="A113" s="16" t="str">
        <x:v>Беловская ГРЭС</x:v>
      </x:c>
      <x:c r="B113" s="16" t="str">
        <x:v>2000072725-U112</x:v>
      </x:c>
      <x:c r="C113" s="16" t="str">
        <x:v>ПОДШИПНИК 8311</x:v>
      </x:c>
      <x:c r="D113" s="16" t="str">
        <x:v>Подшипники</x:v>
      </x:c>
      <x:c r="E113" s="16" t="str">
        <x:v>ШТ</x:v>
      </x:c>
      <x:c r="F113" s="21" t="n">
        <x:v>4</x:v>
      </x:c>
      <x:c r="G113" s="17" t="n">
        <x:v>352.8118</x:v>
      </x:c>
      <x:c r="H113" s="17" t="n">
        <x:f>G113*F113</x:f>
        <x:v>1411.2472</x:v>
      </x:c>
      <x:c r="I113" s="22" t="str">
        <x:f>HYPERLINK("https://etp-aktiv.ru/catalog/materialy/podshipniki/2000072725-U112/","Открыть позицию")</x:f>
        <x:v>Открыть позицию</x:v>
      </x:c>
    </x:row>
    <x:row r="114" ht="28" customHeight="1">
      <x:c r="A114" s="16" t="str">
        <x:v>Беловская ГРЭС</x:v>
      </x:c>
      <x:c r="B114" s="16" t="str">
        <x:v>2000892304-U112</x:v>
      </x:c>
      <x:c r="C114" s="16" t="str">
        <x:v>ПОДШИПНИК 89310TN</x:v>
      </x:c>
      <x:c r="D114" s="16" t="str">
        <x:v>Подшипники</x:v>
      </x:c>
      <x:c r="E114" s="16" t="str">
        <x:v>ШТ</x:v>
      </x:c>
      <x:c r="F114" s="21" t="n">
        <x:v>4</x:v>
      </x:c>
      <x:c r="G114" s="17" t="n">
        <x:v>18300</x:v>
      </x:c>
      <x:c r="H114" s="17" t="n">
        <x:f>G114*F114</x:f>
        <x:v>73200</x:v>
      </x:c>
      <x:c r="I114" s="22" t="str">
        <x:f>HYPERLINK("https://etp-aktiv.ru/catalog/materialy/podshipniki/2000892304-U112/","Открыть позицию")</x:f>
        <x:v>Открыть позицию</x:v>
      </x:c>
    </x:row>
    <x:row r="115" ht="28" customHeight="1">
      <x:c r="A115" s="16" t="str">
        <x:v>Беловская ГРЭС</x:v>
      </x:c>
      <x:c r="B115" s="16" t="str">
        <x:v>2000270774-U112</x:v>
      </x:c>
      <x:c r="C115" s="16" t="str">
        <x:v>ПОДШИПНИК NU208</x:v>
      </x:c>
      <x:c r="D115" s="16" t="str">
        <x:v>Подшипники</x:v>
      </x:c>
      <x:c r="E115" s="16" t="str">
        <x:v>ШТ</x:v>
      </x:c>
      <x:c r="F115" s="21" t="n">
        <x:v>2</x:v>
      </x:c>
      <x:c r="G115" s="17" t="n">
        <x:v>187.575</x:v>
      </x:c>
      <x:c r="H115" s="17" t="n">
        <x:f>G115*F115</x:f>
        <x:v>375.15</x:v>
      </x:c>
      <x:c r="I115" s="22" t="str">
        <x:f>HYPERLINK("https://etp-aktiv.ru/catalog/materialy/podshipniki/2000270774-U112/","Открыть позицию")</x:f>
        <x:v>Открыть позицию</x:v>
      </x:c>
    </x:row>
    <x:row r="116" ht="28" customHeight="1">
      <x:c r="A116" s="16" t="str">
        <x:v>Беловская ГРЭС</x:v>
      </x:c>
      <x:c r="B116" s="16" t="str">
        <x:v>2000688116-U112</x:v>
      </x:c>
      <x:c r="C116" s="16" t="str">
        <x:v>ПОДШИПНИК ВЕРХНИЙ ОП2-110 В-8908</x:v>
      </x:c>
      <x:c r="D116" s="16" t="str">
        <x:v>Запасные части к энергетическим насосам</x:v>
      </x:c>
      <x:c r="E116" s="16" t="str">
        <x:v>ШТ</x:v>
      </x:c>
      <x:c r="F116" s="21" t="n">
        <x:v>10</x:v>
      </x:c>
      <x:c r="G116" s="17" t="n">
        <x:v>267478.89999999997</x:v>
      </x:c>
      <x:c r="H116" s="17" t="n">
        <x:f>G116*F116</x:f>
        <x:v>2674788.9999999995</x:v>
      </x:c>
      <x:c r="I116" s="22" t="str">
        <x:f>HYPERLINK("https://etp-aktiv.ru/catalog/materialy/zapasnye-chasti-promyshlennogo-oborudovaniya/2000688116-U112/","Открыть позицию")</x:f>
        <x:v>Открыть позицию</x:v>
      </x:c>
    </x:row>
    <x:row r="117" ht="28" customHeight="1">
      <x:c r="A117" s="16" t="str">
        <x:v>Беловская ГРЭС</x:v>
      </x:c>
      <x:c r="B117" s="16" t="str">
        <x:v>2000534431-U112</x:v>
      </x:c>
      <x:c r="C117" s="16" t="str">
        <x:v>ПОДШИПНИК НИЖНИЙ В-8883 НАСОСА ОП2-110</x:v>
      </x:c>
      <x:c r="D117" s="16" t="str">
        <x:v>@Запасные части к насосам</x:v>
      </x:c>
      <x:c r="E117" s="16" t="str">
        <x:v>ШТ</x:v>
      </x:c>
      <x:c r="F117" s="21" t="n">
        <x:v>2</x:v>
      </x:c>
      <x:c r="G117" s="17" t="n">
        <x:v>147461.4</x:v>
      </x:c>
      <x:c r="H117" s="17" t="n">
        <x:f>G117*F117</x:f>
        <x:v>294922.8</x:v>
      </x:c>
      <x:c r="I117" s="22" t="str">
        <x:f>HYPERLINK("https://etp-aktiv.ru/catalog/materialy/zapasnye-chasti-promyshlennogo-oborudovaniya/2000534431-U112/","Открыть позицию")</x:f>
        <x:v>Открыть позицию</x:v>
      </x:c>
    </x:row>
    <x:row r="118" ht="28" customHeight="1">
      <x:c r="A118" s="16" t="str">
        <x:v>Беловская ГРЭС</x:v>
      </x:c>
      <x:c r="B118" s="16" t="str">
        <x:v>2000143868-U112</x:v>
      </x:c>
      <x:c r="C118" s="16" t="str">
        <x:v>ПОДШИПНИК ШС 15</x:v>
      </x:c>
      <x:c r="D118" s="16" t="str">
        <x:v>Подшипники</x:v>
      </x:c>
      <x:c r="E118" s="16" t="str">
        <x:v>ШТ</x:v>
      </x:c>
      <x:c r="F118" s="21" t="n">
        <x:v>2</x:v>
      </x:c>
      <x:c r="G118" s="17" t="n">
        <x:v>37.515</x:v>
      </x:c>
      <x:c r="H118" s="17" t="n">
        <x:f>G118*F118</x:f>
        <x:v>75.03</x:v>
      </x:c>
      <x:c r="I118" s="22" t="str">
        <x:f>HYPERLINK("https://etp-aktiv.ru/catalog/materialy/podshipniki/2000143868-U112/","Открыть позицию")</x:f>
        <x:v>Открыть позицию</x:v>
      </x:c>
    </x:row>
    <x:row r="119" ht="28" customHeight="1">
      <x:c r="A119" s="16" t="str">
        <x:v>Беловская ГРЭС</x:v>
      </x:c>
      <x:c r="B119" s="16" t="str">
        <x:v>2000127131-U112</x:v>
      </x:c>
      <x:c r="C119" s="16" t="str">
        <x:v>ПОДШИПНИК ШС-40</x:v>
      </x:c>
      <x:c r="D119" s="16" t="str">
        <x:v>Подшипники</x:v>
      </x:c>
      <x:c r="E119" s="16" t="str">
        <x:v>ШТ</x:v>
      </x:c>
      <x:c r="F119" s="21" t="n">
        <x:v>16</x:v>
      </x:c>
      <x:c r="G119" s="17" t="n">
        <x:v>104.615</x:v>
      </x:c>
      <x:c r="H119" s="17" t="n">
        <x:f>G119*F119</x:f>
        <x:v>1673.84</x:v>
      </x:c>
      <x:c r="I119" s="22" t="str">
        <x:f>HYPERLINK("https://etp-aktiv.ru/catalog/materialy/podshipniki/2000127131-U112/","Открыть позицию")</x:f>
        <x:v>Открыть позицию</x:v>
      </x:c>
    </x:row>
    <x:row r="120" ht="28" customHeight="1">
      <x:c r="A120" s="16" t="str">
        <x:v>Беловская ГРЭС</x:v>
      </x:c>
      <x:c r="B120" s="16" t="str">
        <x:v>2000556719-U112</x:v>
      </x:c>
      <x:c r="C120" s="16" t="str">
        <x:v>ПОДШИПНИК ШС12</x:v>
      </x:c>
      <x:c r="D120" s="16" t="str">
        <x:v>Подшипники</x:v>
      </x:c>
      <x:c r="E120" s="16" t="str">
        <x:v>ШТ</x:v>
      </x:c>
      <x:c r="F120" s="21" t="n">
        <x:v>2</x:v>
      </x:c>
      <x:c r="G120" s="17" t="n">
        <x:v>33.855</x:v>
      </x:c>
      <x:c r="H120" s="17" t="n">
        <x:f>G120*F120</x:f>
        <x:v>67.71</x:v>
      </x:c>
      <x:c r="I120" s="22" t="str">
        <x:f>HYPERLINK("https://etp-aktiv.ru/catalog/materialy/podshipniki/2000556719-U112/","Открыть позицию")</x:f>
        <x:v>Открыть позицию</x:v>
      </x:c>
    </x:row>
    <x:row r="121" ht="28" customHeight="1">
      <x:c r="A121" s="16" t="str">
        <x:v>Беловская ГРЭС</x:v>
      </x:c>
      <x:c r="B121" s="16" t="str">
        <x:v>2000241403-U112</x:v>
      </x:c>
      <x:c r="C121" s="16" t="str">
        <x:v>ПОДШИПНИК ШСП-35</x:v>
      </x:c>
      <x:c r="D121" s="16" t="str">
        <x:v>Подшипники</x:v>
      </x:c>
      <x:c r="E121" s="16" t="str">
        <x:v>ШТ</x:v>
      </x:c>
      <x:c r="F121" s="21" t="n">
        <x:v>2</x:v>
      </x:c>
      <x:c r="G121" s="17" t="n">
        <x:v>84.4118</x:v>
      </x:c>
      <x:c r="H121" s="17" t="n">
        <x:f>G121*F121</x:f>
        <x:v>168.8236</x:v>
      </x:c>
      <x:c r="I121" s="22" t="str">
        <x:f>HYPERLINK("https://etp-aktiv.ru/catalog/materialy/podshipniki/2000241403-U112/","Открыть позицию")</x:f>
        <x:v>Открыть позицию</x:v>
      </x:c>
    </x:row>
    <x:row r="122" ht="28" customHeight="1">
      <x:c r="A122" s="16" t="str">
        <x:v>Беловская ГРЭС</x:v>
      </x:c>
      <x:c r="B122" s="16" t="str">
        <x:v>2000690433-U112</x:v>
      </x:c>
      <x:c r="C122" s="16" t="str">
        <x:v>ПОЛУМУФТА К3/8" 80МПА БРСН001</x:v>
      </x:c>
      <x:c r="D122" s="16" t="str">
        <x:v>Инструмент и спецоснастка</x:v>
      </x:c>
      <x:c r="E122" s="16" t="str">
        <x:v>ШТ</x:v>
      </x:c>
      <x:c r="F122" s="21" t="n">
        <x:v>2</x:v>
      </x:c>
      <x:c r="G122" s="17" t="n">
        <x:v>610</x:v>
      </x:c>
      <x:c r="H122" s="17" t="n">
        <x:f>G122*F122</x:f>
        <x:v>1220</x:v>
      </x:c>
      <x:c r="I122" s="22" t="str">
        <x:f>HYPERLINK("https://etp-aktiv.ru/catalog/materialy/instrument-i-specosnastka/2000690433-U112/","Открыть позицию")</x:f>
        <x:v>Открыть позицию</x:v>
      </x:c>
    </x:row>
    <x:row r="123" ht="28" customHeight="1">
      <x:c r="A123" s="16" t="str">
        <x:v>Беловская ГРЭС</x:v>
      </x:c>
      <x:c r="B123" s="16" t="str">
        <x:v>2000640090-U112</x:v>
      </x:c>
      <x:c r="C123" s="16" t="str">
        <x:v>ПОЛУМУФТА Т-Т-753-1</x:v>
      </x:c>
      <x:c r="D123" s="16" t="str">
        <x:v>Запасные части к дробильно-сортировочному оборудованию</x:v>
      </x:c>
      <x:c r="E123" s="16" t="str">
        <x:v>ШТ</x:v>
      </x:c>
      <x:c r="F123" s="21" t="n">
        <x:v>2</x:v>
      </x:c>
      <x:c r="G123" s="17" t="n">
        <x:v>12804.998</x:v>
      </x:c>
      <x:c r="H123" s="17" t="n">
        <x:f>G123*F123</x:f>
        <x:v>25609.996</x:v>
      </x:c>
      <x:c r="I123" s="22" t="str">
        <x:f>HYPERLINK("https://etp-aktiv.ru/catalog/materialy/zapasnye-chasti-k-drobilno-sortirovochnomu-oborudovaniyu/2000640090-U112/","Открыть позицию")</x:f>
        <x:v>Открыть позицию</x:v>
      </x:c>
    </x:row>
    <x:row r="124" ht="28" customHeight="1">
      <x:c r="A124" s="16" t="str">
        <x:v>Беловская ГРЭС</x:v>
      </x:c>
      <x:c r="B124" s="16" t="str">
        <x:v>2000640091-U112</x:v>
      </x:c>
      <x:c r="C124" s="16" t="str">
        <x:v>ПОЛУМУФТА Т-Т-753-2</x:v>
      </x:c>
      <x:c r="D124" s="16" t="str">
        <x:v>Запасные части к дробильно-сортировочному оборудованию</x:v>
      </x:c>
      <x:c r="E124" s="16" t="str">
        <x:v>ШТ</x:v>
      </x:c>
      <x:c r="F124" s="21" t="n">
        <x:v>2</x:v>
      </x:c>
      <x:c r="G124" s="17" t="n">
        <x:v>15145.3728</x:v>
      </x:c>
      <x:c r="H124" s="17" t="n">
        <x:f>G124*F124</x:f>
        <x:v>30290.7456</x:v>
      </x:c>
      <x:c r="I124" s="22" t="str">
        <x:f>HYPERLINK("https://etp-aktiv.ru/catalog/materialy/zapasnye-chasti-k-drobilno-sortirovochnomu-oborudovaniyu/2000640091-U112/","Открыть позицию")</x:f>
        <x:v>Открыть позицию</x:v>
      </x:c>
    </x:row>
    <x:row r="125" ht="28" customHeight="1">
      <x:c r="A125" s="16" t="str">
        <x:v>Беловская ГРЭС</x:v>
      </x:c>
      <x:c r="B125" s="16" t="str">
        <x:v>2000567292-U112</x:v>
      </x:c>
      <x:c r="C125" s="16" t="str">
        <x:v>ПРОКЛАДКА ЗУБЧАТАЯ Т-752-А ИСП.3</x:v>
      </x:c>
      <x:c r="D125" s="16" t="str">
        <x:v>Запасные части к энергетическим насосам</x:v>
      </x:c>
      <x:c r="E125" s="16" t="str">
        <x:v>ШТ</x:v>
      </x:c>
      <x:c r="F125" s="21" t="n">
        <x:v>5</x:v>
      </x:c>
      <x:c r="G125" s="17" t="n">
        <x:v>12965.330399999999</x:v>
      </x:c>
      <x:c r="H125" s="17" t="n">
        <x:f>G125*F125</x:f>
        <x:v>64826.651999999995</x:v>
      </x:c>
      <x:c r="I125" s="22" t="str">
        <x:f>HYPERLINK("https://etp-aktiv.ru/catalog/materialy/zapasnye-chasti-promyshlennogo-oborudovaniya/2000567292-U112/","Открыть позицию")</x:f>
        <x:v>Открыть позицию</x:v>
      </x:c>
    </x:row>
    <x:row r="126" ht="28" customHeight="1">
      <x:c r="A126" s="16" t="str">
        <x:v>Беловская ГРЭС</x:v>
      </x:c>
      <x:c r="B126" s="16" t="str">
        <x:v>2000534467-U112</x:v>
      </x:c>
      <x:c r="C126" s="16" t="str">
        <x:v>ПРУЖИНА 36*55 К-1183 НАСОСА ПН-2</x:v>
      </x:c>
      <x:c r="D126" s="16" t="str">
        <x:v>Запасные части к энергетическим насосам</x:v>
      </x:c>
      <x:c r="E126" s="16" t="str">
        <x:v>ШТ</x:v>
      </x:c>
      <x:c r="F126" s="21" t="n">
        <x:v>6</x:v>
      </x:c>
      <x:c r="G126" s="17" t="n">
        <x:v>1259.955</x:v>
      </x:c>
      <x:c r="H126" s="17" t="n">
        <x:f>G126*F126</x:f>
        <x:v>7559.73</x:v>
      </x:c>
      <x:c r="I126" s="22" t="str">
        <x:f>HYPERLINK("https://etp-aktiv.ru/catalog/materialy/zapasnye-chasti-promyshlennogo-oborudovaniya/2000534467-U112/","Открыть позицию")</x:f>
        <x:v>Открыть позицию</x:v>
      </x:c>
    </x:row>
    <x:row r="127" ht="28" customHeight="1">
      <x:c r="A127" s="16" t="str">
        <x:v>Беловская ГРЭС</x:v>
      </x:c>
      <x:c r="B127" s="16" t="str">
        <x:v>2000174971-U112</x:v>
      </x:c>
      <x:c r="C127" s="16" t="str">
        <x:v>РОЛИК 159*1600 МЕТАЛЛ</x:v>
      </x:c>
      <x:c r="D127" s="16" t="str">
        <x:v>Ролики конвейерные</x:v>
      </x:c>
      <x:c r="E127" s="16" t="str">
        <x:v>ШТ</x:v>
      </x:c>
      <x:c r="F127" s="21" t="n">
        <x:v>5</x:v>
      </x:c>
      <x:c r="G127" s="17" t="n">
        <x:v>4880</x:v>
      </x:c>
      <x:c r="H127" s="17" t="n">
        <x:f>G127*F127</x:f>
        <x:v>24400</x:v>
      </x:c>
      <x:c r="I127" s="22" t="str">
        <x:f>HYPERLINK("https://etp-aktiv.ru/catalog/materialy/zapasnye-chasti-k-gorno-shahtnomu-oborudovaniyu/2000174971-U112/","Открыть позицию")</x:f>
        <x:v>Открыть позицию</x:v>
      </x:c>
    </x:row>
    <x:row r="128" ht="28" customHeight="1">
      <x:c r="A128" s="16" t="str">
        <x:v>Беловская ГРЭС</x:v>
      </x:c>
      <x:c r="B128" s="16" t="str">
        <x:v>2000572681-U112</x:v>
      </x:c>
      <x:c r="C128" s="16" t="str">
        <x:v>РОЛИК ИСП.1 РСП-159*1600-29,5*16</x:v>
      </x:c>
      <x:c r="D128" s="16" t="str">
        <x:v>Ролики конвейерные</x:v>
      </x:c>
      <x:c r="E128" s="16" t="str">
        <x:v>ШТ</x:v>
      </x:c>
      <x:c r="F128" s="21" t="n">
        <x:v>18</x:v>
      </x:c>
      <x:c r="G128" s="17" t="n">
        <x:v>8220.2868</x:v>
      </x:c>
      <x:c r="H128" s="17" t="n">
        <x:f>G128*F128</x:f>
        <x:v>147965.1624</x:v>
      </x:c>
      <x:c r="I128" s="22" t="str">
        <x:f>HYPERLINK("https://etp-aktiv.ru/catalog/materialy/zapasnye-chasti-k-gorno-shahtnomu-oborudovaniyu/2000572681-U112/","Открыть позицию")</x:f>
        <x:v>Открыть позицию</x:v>
      </x:c>
    </x:row>
    <x:row r="129" ht="28" customHeight="1">
      <x:c r="A129" s="16" t="str">
        <x:v>Беловская ГРЭС</x:v>
      </x:c>
      <x:c r="B129" s="16" t="str">
        <x:v>2000552495-U112</x:v>
      </x:c>
      <x:c r="C129" s="16" t="str">
        <x:v>РОЛИК КОНВЕЙЕРНЫЙ РСП 159*530</x:v>
      </x:c>
      <x:c r="D129" s="16" t="str">
        <x:v>Ролики конвейерные</x:v>
      </x:c>
      <x:c r="E129" s="16" t="str">
        <x:v>ШТ</x:v>
      </x:c>
      <x:c r="F129" s="21" t="n">
        <x:v>67</x:v>
      </x:c>
      <x:c r="G129" s="17" t="n">
        <x:v>4530.567599999999</x:v>
      </x:c>
      <x:c r="H129" s="17" t="n">
        <x:f>G129*F129</x:f>
        <x:v>303548.02919999993</x:v>
      </x:c>
      <x:c r="I129" s="22" t="str">
        <x:f>HYPERLINK("https://etp-aktiv.ru/catalog/materialy/zapasnye-chasti-k-gorno-shahtnomu-oborudovaniyu/2000552495-U112/","Открыть позицию")</x:f>
        <x:v>Открыть позицию</x:v>
      </x:c>
    </x:row>
    <x:row r="130" ht="28" customHeight="1">
      <x:c r="A130" s="16" t="str">
        <x:v>Беловская ГРЭС</x:v>
      </x:c>
      <x:c r="B130" s="16" t="str">
        <x:v>2000552520-U112</x:v>
      </x:c>
      <x:c r="C130" s="16" t="str">
        <x:v>РОЛИКООПОРА ЖГ 140-159-30</x:v>
      </x:c>
      <x:c r="D130" s="16" t="str">
        <x:v>Запасные части к конвейерам поверхностным</x:v>
      </x:c>
      <x:c r="E130" s="16" t="str">
        <x:v>ШТ</x:v>
      </x:c>
      <x:c r="F130" s="21" t="n">
        <x:v>10</x:v>
      </x:c>
      <x:c r="G130" s="17" t="n">
        <x:v>2436.218</x:v>
      </x:c>
      <x:c r="H130" s="17" t="n">
        <x:f>G130*F130</x:f>
        <x:v>24362.18</x:v>
      </x:c>
      <x:c r="I130" s="22" t="str">
        <x:f>HYPERLINK("https://etp-aktiv.ru/catalog/materialy/zapasnye-chasti-k-drobilno-sortirovochnomu-oborudovaniyu/2000552520-U112/","Открыть позицию")</x:f>
        <x:v>Открыть позицию</x:v>
      </x:c>
    </x:row>
    <x:row r="131" ht="28" customHeight="1">
      <x:c r="A131" s="16" t="str">
        <x:v>Беловская ГРЭС</x:v>
      </x:c>
      <x:c r="B131" s="16" t="str">
        <x:v>2000064430-U112</x:v>
      </x:c>
      <x:c r="C131" s="16" t="str">
        <x:v>РОЛИКООПОРА КЛ-10 ЧУ8.07.010</x:v>
      </x:c>
      <x:c r="D131" s="16" t="str">
        <x:v>Запасные части к конвейерам поверхностным</x:v>
      </x:c>
      <x:c r="E131" s="16" t="str">
        <x:v>ШТ</x:v>
      </x:c>
      <x:c r="F131" s="21" t="n">
        <x:v>1</x:v>
      </x:c>
      <x:c r="G131" s="17" t="n">
        <x:v>26379.7306</x:v>
      </x:c>
      <x:c r="H131" s="17" t="n">
        <x:f>G131*F131</x:f>
        <x:v>26379.7306</x:v>
      </x:c>
      <x:c r="I131" s="22" t="str">
        <x:f>HYPERLINK("https://etp-aktiv.ru/catalog/materialy/zapasnye-chasti-k-drobilno-sortirovochnomu-oborudovaniyu/2000064430-U112/","Открыть позицию")</x:f>
        <x:v>Открыть позицию</x:v>
      </x:c>
    </x:row>
    <x:row r="132" ht="28" customHeight="1">
      <x:c r="A132" s="16" t="str">
        <x:v>Беловская ГРЭС</x:v>
      </x:c>
      <x:c r="B132" s="16" t="str">
        <x:v>2000996675-U112</x:v>
      </x:c>
      <x:c r="C132" s="16" t="str">
        <x:v>РУКАВ 6*16,6ММ К3/8 700КГС/СМ2 РВД2000ПМ</x:v>
      </x:c>
      <x:c r="D132" s="16" t="str">
        <x:v>Запасные части к ремонтно-механическому оборудованию</x:v>
      </x:c>
      <x:c r="E132" s="16" t="str">
        <x:v>ШТ</x:v>
      </x:c>
      <x:c r="F132" s="21" t="n">
        <x:v>2</x:v>
      </x:c>
      <x:c r="G132" s="17" t="n">
        <x:v>2326.7961999999998</x:v>
      </x:c>
      <x:c r="H132" s="17" t="n">
        <x:f>G132*F132</x:f>
        <x:v>4653.5923999999995</x:v>
      </x:c>
      <x:c r="I132" s="22" t="str">
        <x:f>HYPERLINK("https://etp-aktiv.ru/catalog/materialy/zapasnye-chasti-promyshlennogo-oborudovaniya/2000996675-U112/","Открыть позицию")</x:f>
        <x:v>Открыть позицию</x:v>
      </x:c>
    </x:row>
    <x:row r="133" ht="28" customHeight="1">
      <x:c r="A133" s="16" t="str">
        <x:v>Беловская ГРЭС</x:v>
      </x:c>
      <x:c r="B133" s="16" t="str">
        <x:v>2000788038-U112</x:v>
      </x:c>
      <x:c r="C133" s="16" t="str">
        <x:v>УПЛОТНЕНИЕ ГР-М.1405.11С17.022.0103.1100</x:v>
      </x:c>
      <x:c r="D133" s="16" t="str">
        <x:v>@Запасные части к насосам</x:v>
      </x:c>
      <x:c r="E133" s="16" t="str">
        <x:v>КМП</x:v>
      </x:c>
      <x:c r="F133" s="21" t="n">
        <x:v>8</x:v>
      </x:c>
      <x:c r="G133" s="17" t="n">
        <x:v>3211.2474</x:v>
      </x:c>
      <x:c r="H133" s="17" t="n">
        <x:f>G133*F133</x:f>
        <x:v>25689.9792</x:v>
      </x:c>
      <x:c r="I133" s="22" t="str">
        <x:f>HYPERLINK("https://etp-aktiv.ru/catalog/materialy/zapasnye-chasti-promyshlennogo-oborudovaniya/2000788038-U112/","Открыть позицию")</x:f>
        <x:v>Открыть позицию</x:v>
      </x:c>
    </x:row>
    <x:row r="134" ht="28" customHeight="1">
      <x:c r="A134" s="16" t="str">
        <x:v>Беловская ГРЭС</x:v>
      </x:c>
      <x:c r="B134" s="16" t="str">
        <x:v>2000460098-U112</x:v>
      </x:c>
      <x:c r="C134" s="16" t="str">
        <x:v>ХОМУТ ЧЕРВЯЧНЫЙ NORMA 90-110/W2 9MM</x:v>
      </x:c>
      <x:c r="D134" s="16" t="str">
        <x:v>Инструмент и спецоснастка специализированные, нестандартные</x:v>
      </x:c>
      <x:c r="E134" s="16" t="str">
        <x:v>ШТ</x:v>
      </x:c>
      <x:c r="F134" s="21" t="n">
        <x:v>70</x:v>
      </x:c>
      <x:c r="G134" s="17" t="n">
        <x:v>14.1154</x:v>
      </x:c>
      <x:c r="H134" s="17" t="n">
        <x:f>G134*F134</x:f>
        <x:v>988.078</x:v>
      </x:c>
      <x:c r="I134" s="22" t="str">
        <x:f>HYPERLINK("https://etp-aktiv.ru/catalog/materialy/instrument-i-specosnastka/2000460098-U112/","Открыть позицию")</x:f>
        <x:v>Открыть позицию</x:v>
      </x:c>
    </x:row>
    <x:row r="135" ht="28" customHeight="1">
      <x:c r="A135" s="16" t="str">
        <x:v>Беловская ГРЭС</x:v>
      </x:c>
      <x:c r="B135" s="16" t="str">
        <x:v>2000321956-U112</x:v>
      </x:c>
      <x:c r="C135" s="16" t="str">
        <x:v>ШЛИФКРУГ 100*20*20 25А</x:v>
      </x:c>
      <x:c r="D135" s="16" t="str">
        <x:v>Инструмент и спецоснастка</x:v>
      </x:c>
      <x:c r="E135" s="16" t="str">
        <x:v>ШТ</x:v>
      </x:c>
      <x:c r="F135" s="29" t="n">
        <x:v>73.5</x:v>
      </x:c>
      <x:c r="G135" s="17" t="n">
        <x:v>78.7144</x:v>
      </x:c>
      <x:c r="H135" s="17" t="n">
        <x:f>G135*F135</x:f>
        <x:v>5785.5084</x:v>
      </x:c>
      <x:c r="I135" s="22" t="str">
        <x:f>HYPERLINK("https://etp-aktiv.ru/catalog/materialy/instrument-i-specosnastka/2000321956-U112/","Открыть позицию")</x:f>
        <x:v>Открыть позицию</x:v>
      </x:c>
    </x:row>
    <x:row r="136" ht="28" customHeight="1">
      <x:c r="A136" s="16" t="str">
        <x:v>Беловская ГРЭС</x:v>
      </x:c>
      <x:c r="B136" s="16" t="str">
        <x:v>2000028725-U112</x:v>
      </x:c>
      <x:c r="C136" s="16" t="str">
        <x:v>ШЛИФКРУГ 125*20*32 25А</x:v>
      </x:c>
      <x:c r="D136" s="16" t="str">
        <x:v>Инструмент и спецоснастка</x:v>
      </x:c>
      <x:c r="E136" s="16" t="str">
        <x:v>ШТ</x:v>
      </x:c>
      <x:c r="F136" s="21" t="n">
        <x:v>6</x:v>
      </x:c>
      <x:c r="G136" s="17" t="n">
        <x:v>145.363</x:v>
      </x:c>
      <x:c r="H136" s="17" t="n">
        <x:f>G136*F136</x:f>
        <x:v>872.178</x:v>
      </x:c>
      <x:c r="I136" s="22" t="str">
        <x:f>HYPERLINK("https://etp-aktiv.ru/catalog/materialy/instrument-i-specosnastka/2000028725-U112/","Открыть позицию")</x:f>
        <x:v>Открыть позицию</x:v>
      </x:c>
    </x:row>
    <x:row r="137" ht="28" customHeight="1">
      <x:c r="A137" s="16" t="str">
        <x:v>Беловская ГРЭС</x:v>
      </x:c>
      <x:c r="B137" s="16" t="str">
        <x:v>2000142587-U112</x:v>
      </x:c>
      <x:c r="C137" s="16" t="str">
        <x:v>ШЛИФКРУГ 125*25*32 64С</x:v>
      </x:c>
      <x:c r="D137" s="16" t="str">
        <x:v>Инструмент и спецоснастка</x:v>
      </x:c>
      <x:c r="E137" s="16" t="str">
        <x:v>ШТ</x:v>
      </x:c>
      <x:c r="F137" s="21" t="n">
        <x:v>1</x:v>
      </x:c>
      <x:c r="G137" s="17" t="n">
        <x:v>223.19899999999998</x:v>
      </x:c>
      <x:c r="H137" s="17" t="n">
        <x:f>G137*F137</x:f>
        <x:v>223.19899999999998</x:v>
      </x:c>
      <x:c r="I137" s="22" t="str">
        <x:f>HYPERLINK("https://etp-aktiv.ru/catalog/materialy/instrument-i-specosnastka/2000142587-U112/","Открыть позицию")</x:f>
        <x:v>Открыть позицию</x:v>
      </x:c>
    </x:row>
    <x:row r="138" ht="28" customHeight="1">
      <x:c r="A138" s="16" t="str">
        <x:v>Беловская ГРЭС</x:v>
      </x:c>
      <x:c r="B138" s="16" t="str">
        <x:v>2000122457-U112</x:v>
      </x:c>
      <x:c r="C138" s="16" t="str">
        <x:v>ШЛИФКРУГ 250*20*32 25А</x:v>
      </x:c>
      <x:c r="D138" s="16" t="str">
        <x:v>Инструмент и спецоснастка</x:v>
      </x:c>
      <x:c r="E138" s="16" t="str">
        <x:v>ШТ</x:v>
      </x:c>
      <x:c r="F138" s="21" t="n">
        <x:v>2</x:v>
      </x:c>
      <x:c r="G138" s="17" t="n">
        <x:v>470.2246</x:v>
      </x:c>
      <x:c r="H138" s="17" t="n">
        <x:f>G138*F138</x:f>
        <x:v>940.4492</x:v>
      </x:c>
      <x:c r="I138" s="22" t="str">
        <x:f>HYPERLINK("https://etp-aktiv.ru/catalog/materialy/instrument-i-specosnastka/2000122457-U112/","Открыть позицию")</x:f>
        <x:v>Открыть позицию</x:v>
      </x:c>
    </x:row>
    <x:row r="139" ht="28" customHeight="1">
      <x:c r="A139" s="16" t="str">
        <x:v>Беловская ГРЭС</x:v>
      </x:c>
      <x:c r="B139" s="16" t="str">
        <x:v>2000321954-U112</x:v>
      </x:c>
      <x:c r="C139" s="16" t="str">
        <x:v>ШЛИФКРУГ 60*20*20 25А</x:v>
      </x:c>
      <x:c r="D139" s="16" t="str">
        <x:v>Инструмент и спецоснастка</x:v>
      </x:c>
      <x:c r="E139" s="16" t="str">
        <x:v>ШТ</x:v>
      </x:c>
      <x:c r="F139" s="21" t="n">
        <x:v>6</x:v>
      </x:c>
      <x:c r="G139" s="17" t="n">
        <x:v>53.13099999999999</x:v>
      </x:c>
      <x:c r="H139" s="17" t="n">
        <x:f>G139*F139</x:f>
        <x:v>318.78599999999994</x:v>
      </x:c>
      <x:c r="I139" s="22" t="str">
        <x:f>HYPERLINK("https://etp-aktiv.ru/catalog/materialy/instrument-i-specosnastka/2000321954-U112/","Открыть позицию")</x:f>
        <x:v>Открыть позицию</x:v>
      </x:c>
    </x:row>
    <x:row r="140" ht="28" customHeight="1">
      <x:c r="A140" s="16" t="str">
        <x:v>Беловская ГРЭС</x:v>
      </x:c>
      <x:c r="B140" s="16" t="str">
        <x:v>2000437808-U112</x:v>
      </x:c>
      <x:c r="C140" s="16" t="str">
        <x:v>ШЛИФКРУГ 63*20*20 25А F46 L 6 V 35</x:v>
      </x:c>
      <x:c r="D140" s="16" t="str">
        <x:v>Инструмент и спецоснастка</x:v>
      </x:c>
      <x:c r="E140" s="16" t="str">
        <x:v>ШТ</x:v>
      </x:c>
      <x:c r="F140" s="21" t="n">
        <x:v>10</x:v>
      </x:c>
      <x:c r="G140" s="17" t="n">
        <x:v>70.14999999999999</x:v>
      </x:c>
      <x:c r="H140" s="17" t="n">
        <x:f>G140*F140</x:f>
        <x:v>701.4999999999999</x:v>
      </x:c>
      <x:c r="I140" s="22" t="str">
        <x:f>HYPERLINK("https://etp-aktiv.ru/catalog/materialy/instrument-i-specosnastka/2000437808-U112/","Открыть позицию")</x:f>
        <x:v>Открыть позицию</x:v>
      </x:c>
    </x:row>
    <x:row r="141" ht="28" customHeight="1">
      <x:c r="A141" s="16" t="str">
        <x:v>Беловская ГРЭС</x:v>
      </x:c>
      <x:c r="B141" s="16" t="str">
        <x:v>2000138139-U112</x:v>
      </x:c>
      <x:c r="C141" s="16" t="str">
        <x:v>ШЛИФКРУГ 80*20*20 25А25С</x:v>
      </x:c>
      <x:c r="D141" s="16" t="str">
        <x:v>Инструмент и спецоснастка</x:v>
      </x:c>
      <x:c r="E141" s="16" t="str">
        <x:v>ШТ</x:v>
      </x:c>
      <x:c r="F141" s="21" t="n">
        <x:v>20</x:v>
      </x:c>
      <x:c r="G141" s="17" t="n">
        <x:v>114.9972</x:v>
      </x:c>
      <x:c r="H141" s="17" t="n">
        <x:f>G141*F141</x:f>
        <x:v>2299.944</x:v>
      </x:c>
      <x:c r="I141" s="22" t="str">
        <x:f>HYPERLINK("https://etp-aktiv.ru/catalog/materialy/instrument-i-specosnastka/2000138139-U112/","Открыть позицию")</x:f>
        <x:v>Открыть позицию</x:v>
      </x:c>
    </x:row>
    <x:row r="142" ht="28" customHeight="1">
      <x:c r="A142" s="16" t="str">
        <x:v>Кемеровская ГРЭС</x:v>
      </x:c>
      <x:c r="B142" s="16" t="str">
        <x:v>2000336443-U311</x:v>
      </x:c>
      <x:c r="C142" s="16" t="str">
        <x:v>ВАЛ-ШЕСТЕРНЯ КОНИЧЕСКАЯ 5К32 К324-31-205</x:v>
      </x:c>
      <x:c r="D142" s="16" t="str">
        <x:v>Запасные части к ремонтно-механическому оборудованию</x:v>
      </x:c>
      <x:c r="E142" s="16" t="str">
        <x:v>ШТ</x:v>
      </x:c>
      <x:c r="F142" s="21" t="n">
        <x:v>1</x:v>
      </x:c>
      <x:c r="G142" s="17" t="n">
        <x:v>7554.24</x:v>
      </x:c>
      <x:c r="H142" s="17" t="n">
        <x:f>G142*F142</x:f>
        <x:v>7554.24</x:v>
      </x:c>
      <x:c r="I142" s="22" t="str">
        <x:f>HYPERLINK("https://etp-aktiv.ru/catalog/materialy/zapasnye-chasti-promyshlennogo-oborudovaniya/2000336443-U311/","Открыть позицию")</x:f>
        <x:v>Открыть позицию</x:v>
      </x:c>
    </x:row>
    <x:row r="143" ht="28" customHeight="1">
      <x:c r="A143" s="16" t="str">
        <x:v>Кемеровская ГРЭС</x:v>
      </x:c>
      <x:c r="B143" s="16" t="str">
        <x:v>2000525954-U311</x:v>
      </x:c>
      <x:c r="C143" s="16" t="str">
        <x:v>ВТУЛКА ШЛИЦЕВАЯ 23755</x:v>
      </x:c>
      <x:c r="D143" s="16" t="str">
        <x:v>Запасные части к дробильно-сортировочному оборудованию</x:v>
      </x:c>
      <x:c r="E143" s="16" t="str">
        <x:v>ШТ</x:v>
      </x:c>
      <x:c r="F143" s="21" t="n">
        <x:v>1</x:v>
      </x:c>
      <x:c r="G143" s="17" t="n">
        <x:v>33524.8558</x:v>
      </x:c>
      <x:c r="H143" s="17" t="n">
        <x:f>G143*F143</x:f>
        <x:v>33524.8558</x:v>
      </x:c>
      <x:c r="I143" s="22" t="str">
        <x:f>HYPERLINK("https://etp-aktiv.ru/catalog/materialy/zapasnye-chasti-k-drobilno-sortirovochnomu-oborudovaniyu/2000525954-U311/","Открыть позицию")</x:f>
        <x:v>Открыть позицию</x:v>
      </x:c>
    </x:row>
    <x:row r="144" ht="28" customHeight="1">
      <x:c r="A144" s="16" t="str">
        <x:v>Кемеровская ГРЭС</x:v>
      </x:c>
      <x:c r="B144" s="16" t="str">
        <x:v>2000533683-U311</x:v>
      </x:c>
      <x:c r="C144" s="16" t="str">
        <x:v>ГАЙКА 21871-01 НАСОСА ГРАТ 1400/40</x:v>
      </x:c>
      <x:c r="D144" s="16" t="str">
        <x:v>Запасные части к насосам</x:v>
      </x:c>
      <x:c r="E144" s="16" t="str">
        <x:v>ШТ</x:v>
      </x:c>
      <x:c r="F144" s="21" t="n">
        <x:v>1</x:v>
      </x:c>
      <x:c r="G144" s="17" t="n">
        <x:v>600.4718</x:v>
      </x:c>
      <x:c r="H144" s="17" t="n">
        <x:f>G144*F144</x:f>
        <x:v>600.4718</x:v>
      </x:c>
      <x:c r="I144" s="22" t="str">
        <x:f>HYPERLINK("https://etp-aktiv.ru/catalog/materialy/zapasnye-chasti-promyshlennogo-oborudovaniya/2000533683-U311/","Открыть позицию")</x:f>
        <x:v>Открыть позицию</x:v>
      </x:c>
    </x:row>
    <x:row r="145" ht="28" customHeight="1">
      <x:c r="A145" s="16" t="str">
        <x:v>Кемеровская ГРЭС</x:v>
      </x:c>
      <x:c r="B145" s="16" t="str">
        <x:v>2000533684-U311</x:v>
      </x:c>
      <x:c r="C145" s="16" t="str">
        <x:v>ГАЙКА 21871-02 НАСОСА ГРАТ 1400/40</x:v>
      </x:c>
      <x:c r="D145" s="16" t="str">
        <x:v>ЗЧ насосов</x:v>
      </x:c>
      <x:c r="E145" s="16" t="str">
        <x:v>ШТ</x:v>
      </x:c>
      <x:c r="F145" s="21" t="n">
        <x:v>2</x:v>
      </x:c>
      <x:c r="G145" s="17" t="n">
        <x:v>274.54879999999997</x:v>
      </x:c>
      <x:c r="H145" s="17" t="n">
        <x:f>G145*F145</x:f>
        <x:v>549.0975999999999</x:v>
      </x:c>
      <x:c r="I145" s="22" t="str">
        <x:f>HYPERLINK("https://etp-aktiv.ru/catalog/materialy/zapasnye-chasti-promyshlennogo-oborudovaniya/2000533684-U311/","Открыть позицию")</x:f>
        <x:v>Открыть позицию</x:v>
      </x:c>
    </x:row>
    <x:row r="146" ht="28" customHeight="1">
      <x:c r="A146" s="16" t="str">
        <x:v>Кемеровская ГРЭС</x:v>
      </x:c>
      <x:c r="B146" s="16" t="str">
        <x:v>2000335768-U311</x:v>
      </x:c>
      <x:c r="C146" s="16" t="str">
        <x:v>КОЛЕСО ЗУБЧАТОЕ КОНИЧЕСКОЕ К324-31-204</x:v>
      </x:c>
      <x:c r="D146" s="16" t="str">
        <x:v>Запасные части к ремонтно-механическому оборудованию</x:v>
      </x:c>
      <x:c r="E146" s="16" t="str">
        <x:v>ШТ</x:v>
      </x:c>
      <x:c r="F146" s="21" t="n">
        <x:v>1</x:v>
      </x:c>
      <x:c r="G146" s="17" t="n">
        <x:v>16172.173599999998</x:v>
      </x:c>
      <x:c r="H146" s="17" t="n">
        <x:f>G146*F146</x:f>
        <x:v>16172.173599999998</x:v>
      </x:c>
      <x:c r="I146" s="22" t="str">
        <x:f>HYPERLINK("https://etp-aktiv.ru/catalog/materialy/zapasnye-chasti-promyshlennogo-oborudovaniya/2000335768-U311/","Открыть позицию")</x:f>
        <x:v>Открыть позицию</x:v>
      </x:c>
    </x:row>
    <x:row r="147" ht="28" customHeight="1">
      <x:c r="A147" s="16" t="str">
        <x:v>Кемеровская ГРЭС</x:v>
      </x:c>
      <x:c r="B147" s="16" t="str">
        <x:v>2000242386-U311</x:v>
      </x:c>
      <x:c r="C147" s="16" t="str">
        <x:v>КОЛЕСО РАБОЧЕЕ Н03.3.304.01.01.001</x:v>
      </x:c>
      <x:c r="D147" s="16" t="str">
        <x:v>Запасные части к насосам</x:v>
      </x:c>
      <x:c r="E147" s="16" t="str">
        <x:v>ШТ</x:v>
      </x:c>
      <x:c r="F147" s="21" t="n">
        <x:v>0</x:v>
      </x:c>
      <x:c r="G147" s="17" t="n">
        <x:v>6244.875</x:v>
      </x:c>
      <x:c r="H147" s="17" t="n">
        <x:f>G147*F147</x:f>
        <x:v>0</x:v>
      </x:c>
      <x:c r="I147" s="22" t="str">
        <x:f>HYPERLINK("https://etp-aktiv.ru/catalog/materialy/zapasnye-chasti-promyshlennogo-oborudovaniya/2000242386-U311/","Открыть позицию")</x:f>
        <x:v>Открыть позицию</x:v>
      </x:c>
    </x:row>
    <x:row r="148" ht="28" customHeight="1">
      <x:c r="A148" s="16" t="str">
        <x:v>Кемеровская ГРЭС</x:v>
      </x:c>
      <x:c r="B148" s="16" t="str">
        <x:v>2000176156-U311</x:v>
      </x:c>
      <x:c r="C148" s="16" t="str">
        <x:v>КОЛЕСО РАБОЧЕЕ Н14.2.933.01.110СБ</x:v>
      </x:c>
      <x:c r="D148" s="16" t="str">
        <x:v>@Запасные части к насосам</x:v>
      </x:c>
      <x:c r="E148" s="16" t="str">
        <x:v>ШТ</x:v>
      </x:c>
      <x:c r="F148" s="21" t="n">
        <x:v>1</x:v>
      </x:c>
      <x:c r="G148" s="17" t="n">
        <x:v>213525.0466</x:v>
      </x:c>
      <x:c r="H148" s="17" t="n">
        <x:f>G148*F148</x:f>
        <x:v>213525.0466</x:v>
      </x:c>
      <x:c r="I148" s="22" t="str">
        <x:f>HYPERLINK("https://etp-aktiv.ru/catalog/materialy/zapasnye-chasti-promyshlennogo-oborudovaniya/2000176156-U311/","Открыть позицию")</x:f>
        <x:v>Открыть позицию</x:v>
      </x:c>
    </x:row>
    <x:row r="149" ht="28" customHeight="1">
      <x:c r="A149" s="16" t="str">
        <x:v>Кемеровская ГРЭС</x:v>
      </x:c>
      <x:c r="B149" s="16" t="str">
        <x:v>2000567261-U311</x:v>
      </x:c>
      <x:c r="C149" s="16" t="str">
        <x:v>КОЛЬЦО ВРАЩ ГРАФ ТУ4НК 5.02.00.006</x:v>
      </x:c>
      <x:c r="D149" s="16" t="str">
        <x:v>ЗЧ насосов</x:v>
      </x:c>
      <x:c r="E149" s="16" t="str">
        <x:v>ШТ</x:v>
      </x:c>
      <x:c r="F149" s="21" t="n">
        <x:v>3</x:v>
      </x:c>
      <x:c r="G149" s="17" t="n">
        <x:v>526.1128</x:v>
      </x:c>
      <x:c r="H149" s="17" t="n">
        <x:f>G149*F149</x:f>
        <x:v>1578.3384</x:v>
      </x:c>
      <x:c r="I149" s="22" t="str">
        <x:f>HYPERLINK("https://etp-aktiv.ru/catalog/materialy/zapasnye-chasti-promyshlennogo-oborudovaniya/2000567261-U311/","Открыть позицию")</x:f>
        <x:v>Открыть позицию</x:v>
      </x:c>
    </x:row>
    <x:row r="150" ht="28" customHeight="1">
      <x:c r="A150" s="16" t="str">
        <x:v>Кемеровская ГРЭС</x:v>
      </x:c>
      <x:c r="B150" s="16" t="str">
        <x:v>2000534069-U311</x:v>
      </x:c>
      <x:c r="C150" s="16" t="str">
        <x:v>КОЛЬЦО Н83.27.00.013 НАСОСА А1 3В 16/25</x:v>
      </x:c>
      <x:c r="D150" s="16" t="str">
        <x:v>Запасные части к насосам</x:v>
      </x:c>
      <x:c r="E150" s="16" t="str">
        <x:v>ШТ</x:v>
      </x:c>
      <x:c r="F150" s="21" t="n">
        <x:v>5</x:v>
      </x:c>
      <x:c r="G150" s="17" t="n">
        <x:v>52.081799999999994</x:v>
      </x:c>
      <x:c r="H150" s="17" t="n">
        <x:f>G150*F150</x:f>
        <x:v>260.409</x:v>
      </x:c>
      <x:c r="I150" s="22" t="str">
        <x:f>HYPERLINK("https://etp-aktiv.ru/catalog/materialy/zapasnye-chasti-promyshlennogo-oborudovaniya/2000534069-U311/","Открыть позицию")</x:f>
        <x:v>Открыть позицию</x:v>
      </x:c>
    </x:row>
    <x:row r="151" ht="28" customHeight="1">
      <x:c r="A151" s="16" t="str">
        <x:v>Кемеровская ГРЭС</x:v>
      </x:c>
      <x:c r="B151" s="16" t="str">
        <x:v>2000534089-U311</x:v>
      </x:c>
      <x:c r="C151" s="16" t="str">
        <x:v>КОЛЬЦО РЕЗИНОВОЕ 110*5 ЭП-503 НАСОСОВ ПЭ</x:v>
      </x:c>
      <x:c r="D151" s="16" t="str">
        <x:v>Запасные части к насосам</x:v>
      </x:c>
      <x:c r="E151" s="16" t="str">
        <x:v>ШТ</x:v>
      </x:c>
      <x:c r="F151" s="21" t="n">
        <x:v>8</x:v>
      </x:c>
      <x:c r="G151" s="17" t="n">
        <x:v>63.769400000000005</x:v>
      </x:c>
      <x:c r="H151" s="17" t="n">
        <x:f>G151*F151</x:f>
        <x:v>510.15520000000004</x:v>
      </x:c>
      <x:c r="I151" s="22" t="str">
        <x:f>HYPERLINK("https://etp-aktiv.ru/catalog/materialy/zapasnye-chasti-promyshlennogo-oborudovaniya/2000534089-U311/","Открыть позицию")</x:f>
        <x:v>Открыть позицию</x:v>
      </x:c>
    </x:row>
    <x:row r="152" ht="28" customHeight="1">
      <x:c r="A152" s="16" t="str">
        <x:v>Кемеровская ГРЭС</x:v>
      </x:c>
      <x:c r="B152" s="16" t="str">
        <x:v>2000166852-U311</x:v>
      </x:c>
      <x:c r="C152" s="16" t="str">
        <x:v>КОЛЬЦО РЕЗИНОВОЕ Н18.118.10.17</x:v>
      </x:c>
      <x:c r="D152" s="16" t="str">
        <x:v>Запасные части к насосам</x:v>
      </x:c>
      <x:c r="E152" s="16" t="str">
        <x:v>ШТ</x:v>
      </x:c>
      <x:c r="F152" s="21" t="n">
        <x:v>16</x:v>
      </x:c>
      <x:c r="G152" s="17" t="n">
        <x:v>506.117</x:v>
      </x:c>
      <x:c r="H152" s="17" t="n">
        <x:f>G152*F152</x:f>
        <x:v>8097.872</x:v>
      </x:c>
      <x:c r="I152" s="22" t="str">
        <x:f>HYPERLINK("https://etp-aktiv.ru/catalog/materialy/zapasnye-chasti-promyshlennogo-oborudovaniya/2000166852-U311/","Открыть позицию")</x:f>
        <x:v>Открыть позицию</x:v>
      </x:c>
    </x:row>
    <x:row r="153" ht="28" customHeight="1">
      <x:c r="A153" s="16" t="str">
        <x:v>Кемеровская ГРЭС</x:v>
      </x:c>
      <x:c r="B153" s="16" t="str">
        <x:v>M2000636498-U311</x:v>
      </x:c>
      <x:c r="C153" s="16" t="str">
        <x:v>КОРЗИНА ОПОРНАЯ 88443</x:v>
      </x:c>
      <x:c r="D153" s="16" t="str">
        <x:v>Запасные части к вентиляционному оборудованию</x:v>
      </x:c>
      <x:c r="E153" s="16" t="str">
        <x:v>ШТ</x:v>
      </x:c>
      <x:c r="F153" s="21" t="n">
        <x:v>5</x:v>
      </x:c>
      <x:c r="G153" s="17" t="n">
        <x:v>171.5686</x:v>
      </x:c>
      <x:c r="H153" s="17" t="n">
        <x:f>G153*F153</x:f>
        <x:v>857.8430000000001</x:v>
      </x:c>
      <x:c r="I153" s="22" t="str">
        <x:f>HYPERLINK("https://etp-aktiv.ru/catalog/materialy/zapasnye-chasti-promyshlennogo-oborudovaniya/M2000636498-U311/","Открыть позицию")</x:f>
        <x:v>Открыть позицию</x:v>
      </x:c>
    </x:row>
    <x:row r="154" ht="28" customHeight="1">
      <x:c r="A154" s="16" t="str">
        <x:v>Кемеровская ГРЭС</x:v>
      </x:c>
      <x:c r="B154" s="16" t="str">
        <x:v>M2000636497-U311</x:v>
      </x:c>
      <x:c r="C154" s="16" t="str">
        <x:v>КОРЗИНА ОПОРНАЯ 88444</x:v>
      </x:c>
      <x:c r="D154" s="16" t="str">
        <x:v>Запасные части к вентиляционному оборудованию</x:v>
      </x:c>
      <x:c r="E154" s="16" t="str">
        <x:v>ШТ</x:v>
      </x:c>
      <x:c r="F154" s="21" t="n">
        <x:v>1</x:v>
      </x:c>
      <x:c r="G154" s="17" t="n">
        <x:v>171.5686</x:v>
      </x:c>
      <x:c r="H154" s="17" t="n">
        <x:f>G154*F154</x:f>
        <x:v>171.5686</x:v>
      </x:c>
      <x:c r="I154" s="22" t="str">
        <x:f>HYPERLINK("https://etp-aktiv.ru/catalog/materialy/zapasnye-chasti-promyshlennogo-oborudovaniya/M2000636497-U311/","Открыть позицию")</x:f>
        <x:v>Открыть позицию</x:v>
      </x:c>
    </x:row>
    <x:row r="155" ht="28" customHeight="1">
      <x:c r="A155" s="16" t="str">
        <x:v>Кемеровская ГРЭС</x:v>
      </x:c>
      <x:c r="B155" s="16" t="str">
        <x:v>2000532273-U311</x:v>
      </x:c>
      <x:c r="C155" s="16" t="str">
        <x:v>КОРПУС ПОДШИПНИКА Ч.23053</x:v>
      </x:c>
      <x:c r="D155" s="16" t="str">
        <x:v>ЗЧ к КВО</x:v>
      </x:c>
      <x:c r="E155" s="16" t="str">
        <x:v>ШТ</x:v>
      </x:c>
      <x:c r="F155" s="21" t="n">
        <x:v>2</x:v>
      </x:c>
      <x:c r="G155" s="17" t="n">
        <x:v>2437.0476</x:v>
      </x:c>
      <x:c r="H155" s="17" t="n">
        <x:f>G155*F155</x:f>
        <x:v>4874.0952</x:v>
      </x:c>
      <x:c r="I155" s="22" t="str">
        <x:f>HYPERLINK("https://etp-aktiv.ru/catalog/materialy/zapasnye-chasti-osnovnogo-ehnergeticheskogo-oborudovaniya/2000532273-U311/","Открыть позицию")</x:f>
        <x:v>Открыть позицию</x:v>
      </x:c>
    </x:row>
    <x:row r="156" ht="28" customHeight="1">
      <x:c r="A156" s="16" t="str">
        <x:v>Кемеровская ГРЭС</x:v>
      </x:c>
      <x:c r="B156" s="16" t="str">
        <x:v>M2000887121-U311</x:v>
      </x:c>
      <x:c r="C156" s="16" t="str">
        <x:v>КОРПУС ХОДОВОЙ ЧАСТИ 182 275 МВ100/1000</x:v>
      </x:c>
      <x:c r="D156" s="16" t="str">
        <x:v>Запасные части к мельницам</x:v>
      </x:c>
      <x:c r="E156" s="16" t="str">
        <x:v>ШТ</x:v>
      </x:c>
      <x:c r="F156" s="21" t="n">
        <x:v>1</x:v>
      </x:c>
      <x:c r="G156" s="17" t="n">
        <x:v>8784</x:v>
      </x:c>
      <x:c r="H156" s="17" t="n">
        <x:f>G156*F156</x:f>
        <x:v>8784</x:v>
      </x:c>
      <x:c r="I156" s="22" t="str">
        <x:f>HYPERLINK("https://etp-aktiv.ru/catalog/materialy/zapasnye-chasti-promyshlennogo-oborudovaniya/M2000887121-U311/","Открыть позицию")</x:f>
        <x:v>Открыть позицию</x:v>
      </x:c>
    </x:row>
    <x:row r="157" ht="28" customHeight="1">
      <x:c r="A157" s="16" t="str">
        <x:v>Кемеровская ГРЭС</x:v>
      </x:c>
      <x:c r="B157" s="16" t="str">
        <x:v>M2000887574-U311</x:v>
      </x:c>
      <x:c r="C157" s="16" t="str">
        <x:v>КРЫШКА КОРПУСА 182276 МВ100/1000</x:v>
      </x:c>
      <x:c r="D157" s="16" t="str">
        <x:v>Запасные части к мельницам</x:v>
      </x:c>
      <x:c r="E157" s="16" t="str">
        <x:v>ШТ</x:v>
      </x:c>
      <x:c r="F157" s="21" t="n">
        <x:v>1</x:v>
      </x:c>
      <x:c r="G157" s="17" t="n">
        <x:v>3123.2</x:v>
      </x:c>
      <x:c r="H157" s="17" t="n">
        <x:f>G157*F157</x:f>
        <x:v>3123.2</x:v>
      </x:c>
      <x:c r="I157" s="22" t="str">
        <x:f>HYPERLINK("https://etp-aktiv.ru/catalog/materialy/zapasnye-chasti-promyshlennogo-oborudovaniya/M2000887574-U311/","Открыть позицию")</x:f>
        <x:v>Открыть позицию</x:v>
      </x:c>
    </x:row>
    <x:row r="158" ht="28" customHeight="1">
      <x:c r="A158" s="16" t="str">
        <x:v>Кемеровская ГРЭС</x:v>
      </x:c>
      <x:c r="B158" s="16" t="str">
        <x:v>2000534346-U311</x:v>
      </x:c>
      <x:c r="C158" s="16" t="str">
        <x:v>КРЫШКА ПОДШИП Н18.39.10.03 КСВ 320-160-2</x:v>
      </x:c>
      <x:c r="D158" s="16" t="str">
        <x:v>Запасные части к энергетическим насосам</x:v>
      </x:c>
      <x:c r="E158" s="16" t="str">
        <x:v>ШТ</x:v>
      </x:c>
      <x:c r="F158" s="21" t="n">
        <x:v>2</x:v>
      </x:c>
      <x:c r="G158" s="17" t="n">
        <x:v>10453.875</x:v>
      </x:c>
      <x:c r="H158" s="17" t="n">
        <x:f>G158*F158</x:f>
        <x:v>20907.75</x:v>
      </x:c>
      <x:c r="I158" s="22" t="str">
        <x:f>HYPERLINK("https://etp-aktiv.ru/catalog/materialy/zapasnye-chasti-promyshlennogo-oborudovaniya/2000534346-U311/","Открыть позицию")</x:f>
        <x:v>Открыть позицию</x:v>
      </x:c>
    </x:row>
    <x:row r="159" ht="28" customHeight="1">
      <x:c r="A159" s="16" t="str">
        <x:v>Кемеровская ГРЭС</x:v>
      </x:c>
      <x:c r="B159" s="16" t="str">
        <x:v>2000133285-U311</x:v>
      </x:c>
      <x:c r="C159" s="16" t="str">
        <x:v>ПОДШИПНИК 180214</x:v>
      </x:c>
      <x:c r="D159" s="16" t="str">
        <x:v>Подшипники</x:v>
      </x:c>
      <x:c r="E159" s="16" t="str">
        <x:v>ШТ</x:v>
      </x:c>
      <x:c r="F159" s="21" t="n">
        <x:v>2</x:v>
      </x:c>
      <x:c r="G159" s="17" t="n">
        <x:v>72.9194</x:v>
      </x:c>
      <x:c r="H159" s="17" t="n">
        <x:f>G159*F159</x:f>
        <x:v>145.8388</x:v>
      </x:c>
      <x:c r="I159" s="22" t="str">
        <x:f>HYPERLINK("https://etp-aktiv.ru/catalog/materialy/podshipniki/2000133285-U311/","Открыть позицию")</x:f>
        <x:v>Открыть позицию</x:v>
      </x:c>
    </x:row>
    <x:row r="160" ht="28" customHeight="1">
      <x:c r="A160" s="16" t="str">
        <x:v>Кемеровская ГРЭС</x:v>
      </x:c>
      <x:c r="B160" s="16" t="str">
        <x:v>2000116611-U311</x:v>
      </x:c>
      <x:c r="C160" s="16" t="str">
        <x:v>ПОДШИПНИК 320</x:v>
      </x:c>
      <x:c r="D160" s="16" t="str">
        <x:v>Подшипники</x:v>
      </x:c>
      <x:c r="E160" s="16" t="str">
        <x:v>ШТ</x:v>
      </x:c>
      <x:c r="F160" s="21" t="n">
        <x:v>2</x:v>
      </x:c>
      <x:c r="G160" s="17" t="n">
        <x:v>581.5374</x:v>
      </x:c>
      <x:c r="H160" s="17" t="n">
        <x:f>G160*F160</x:f>
        <x:v>1163.0748</x:v>
      </x:c>
      <x:c r="I160" s="22" t="str">
        <x:f>HYPERLINK("https://etp-aktiv.ru/catalog/materialy/podshipniki/2000116611-U311/","Открыть позицию")</x:f>
        <x:v>Открыть позицию</x:v>
      </x:c>
    </x:row>
    <x:row r="161" ht="28" customHeight="1">
      <x:c r="A161" s="16" t="str">
        <x:v>Кемеровская ГРЭС</x:v>
      </x:c>
      <x:c r="B161" s="16" t="str">
        <x:v>2000289108-U311</x:v>
      </x:c>
      <x:c r="C161" s="16" t="str">
        <x:v>ПОДШИПНИК 3632Н</x:v>
      </x:c>
      <x:c r="D161" s="16" t="str">
        <x:v>Подшипники</x:v>
      </x:c>
      <x:c r="E161" s="16" t="str">
        <x:v>ШТ</x:v>
      </x:c>
      <x:c r="F161" s="21" t="n">
        <x:v>1</x:v>
      </x:c>
      <x:c r="G161" s="17" t="n">
        <x:v>26305.6766</x:v>
      </x:c>
      <x:c r="H161" s="17" t="n">
        <x:f>G161*F161</x:f>
        <x:v>26305.6766</x:v>
      </x:c>
      <x:c r="I161" s="22" t="str">
        <x:f>HYPERLINK("https://etp-aktiv.ru/catalog/materialy/podshipniki/2000289108-U311/","Открыть позицию")</x:f>
        <x:v>Открыть позицию</x:v>
      </x:c>
    </x:row>
    <x:row r="162" ht="28" customHeight="1">
      <x:c r="A162" s="16" t="str">
        <x:v>Кемеровская ГРЭС</x:v>
      </x:c>
      <x:c r="B162" s="16" t="str">
        <x:v>2000143839-U311</x:v>
      </x:c>
      <x:c r="C162" s="16" t="str">
        <x:v>ПОДШИПНИК 6012</x:v>
      </x:c>
      <x:c r="D162" s="16" t="str">
        <x:v>Подшипники</x:v>
      </x:c>
      <x:c r="E162" s="16" t="str">
        <x:v>ШТ</x:v>
      </x:c>
      <x:c r="F162" s="21" t="n">
        <x:v>1</x:v>
      </x:c>
      <x:c r="G162" s="17" t="n">
        <x:v>17.628999999999998</x:v>
      </x:c>
      <x:c r="H162" s="17" t="n">
        <x:f>G162*F162</x:f>
        <x:v>17.628999999999998</x:v>
      </x:c>
      <x:c r="I162" s="22" t="str">
        <x:f>HYPERLINK("https://etp-aktiv.ru/catalog/materialy/podshipniki/2000143839-U311/","Открыть позицию")</x:f>
        <x:v>Открыть позицию</x:v>
      </x:c>
    </x:row>
    <x:row r="163" ht="28" customHeight="1">
      <x:c r="A163" s="16" t="str">
        <x:v>Кемеровская ГРЭС</x:v>
      </x:c>
      <x:c r="B163" s="16" t="str">
        <x:v>2000116432-U311</x:v>
      </x:c>
      <x:c r="C163" s="16" t="str">
        <x:v>ПОДШИПНИК 60310</x:v>
      </x:c>
      <x:c r="D163" s="16" t="str">
        <x:v>Подшипники</x:v>
      </x:c>
      <x:c r="E163" s="16" t="str">
        <x:v>ШТ</x:v>
      </x:c>
      <x:c r="F163" s="21" t="n">
        <x:v>4</x:v>
      </x:c>
      <x:c r="G163" s="17" t="n">
        <x:v>78.995</x:v>
      </x:c>
      <x:c r="H163" s="17" t="n">
        <x:f>G163*F163</x:f>
        <x:v>315.98</x:v>
      </x:c>
      <x:c r="I163" s="22" t="str">
        <x:f>HYPERLINK("https://etp-aktiv.ru/catalog/materialy/podshipniki/2000116432-U311/","Открыть позицию")</x:f>
        <x:v>Открыть позицию</x:v>
      </x:c>
    </x:row>
    <x:row r="164" ht="28" customHeight="1">
      <x:c r="A164" s="16" t="str">
        <x:v>Кемеровская ГРЭС</x:v>
      </x:c>
      <x:c r="B164" s="16" t="str">
        <x:v>2000127397-U311</x:v>
      </x:c>
      <x:c r="C164" s="16" t="str">
        <x:v>ПОДШИПНИК 6308</x:v>
      </x:c>
      <x:c r="D164" s="16" t="str">
        <x:v>Подшипники</x:v>
      </x:c>
      <x:c r="E164" s="16" t="str">
        <x:v>ШТ</x:v>
      </x:c>
      <x:c r="F164" s="21" t="n">
        <x:v>17</x:v>
      </x:c>
      <x:c r="G164" s="17" t="n">
        <x:v>78.3484</x:v>
      </x:c>
      <x:c r="H164" s="17" t="n">
        <x:f>G164*F164</x:f>
        <x:v>1331.9228</x:v>
      </x:c>
      <x:c r="I164" s="22" t="str">
        <x:f>HYPERLINK("https://etp-aktiv.ru/catalog/materialy/podshipniki/2000127397-U311/","Открыть позицию")</x:f>
        <x:v>Открыть позицию</x:v>
      </x:c>
    </x:row>
    <x:row r="165" ht="28" customHeight="1">
      <x:c r="A165" s="16" t="str">
        <x:v>Кемеровская ГРЭС</x:v>
      </x:c>
      <x:c r="B165" s="16" t="str">
        <x:v>2000116568-U311</x:v>
      </x:c>
      <x:c r="C165" s="16" t="str">
        <x:v>ПОДШИПНИК 7615</x:v>
      </x:c>
      <x:c r="D165" s="16" t="str">
        <x:v>Подшипники</x:v>
      </x:c>
      <x:c r="E165" s="16" t="str">
        <x:v>ШТ</x:v>
      </x:c>
      <x:c r="F165" s="21" t="n">
        <x:v>3</x:v>
      </x:c>
      <x:c r="G165" s="17" t="n">
        <x:v>1657.9434</x:v>
      </x:c>
      <x:c r="H165" s="17" t="n">
        <x:f>G165*F165</x:f>
        <x:v>4973.8302</x:v>
      </x:c>
      <x:c r="I165" s="22" t="str">
        <x:f>HYPERLINK("https://etp-aktiv.ru/catalog/materialy/podshipniki/2000116568-U311/","Открыть позицию")</x:f>
        <x:v>Открыть позицию</x:v>
      </x:c>
    </x:row>
    <x:row r="166" ht="28" customHeight="1">
      <x:c r="A166" s="16" t="str">
        <x:v>Кемеровская ГРЭС</x:v>
      </x:c>
      <x:c r="B166" s="16" t="str">
        <x:v>2000534458-U311</x:v>
      </x:c>
      <x:c r="C166" s="16" t="str">
        <x:v>ПРОКЛАДКА Н17.183.100.10 ПЭ580-185/195-5</x:v>
      </x:c>
      <x:c r="D166" s="16" t="str">
        <x:v>ЗЧ насосов</x:v>
      </x:c>
      <x:c r="E166" s="16" t="str">
        <x:v>ШТ</x:v>
      </x:c>
      <x:c r="F166" s="21" t="n">
        <x:v>5</x:v>
      </x:c>
      <x:c r="G166" s="17" t="n">
        <x:v>2275.5196</x:v>
      </x:c>
      <x:c r="H166" s="17" t="n">
        <x:f>G166*F166</x:f>
        <x:v>11377.598</x:v>
      </x:c>
      <x:c r="I166" s="22" t="str">
        <x:f>HYPERLINK("https://etp-aktiv.ru/catalog/materialy/zapasnye-chasti-promyshlennogo-oborudovaniya/2000534458-U311/","Открыть позицию")</x:f>
        <x:v>Открыть позицию</x:v>
      </x:c>
    </x:row>
    <x:row r="167" ht="28" customHeight="1">
      <x:c r="A167" s="16" t="str">
        <x:v>Кемеровская ГРЭС</x:v>
      </x:c>
      <x:c r="B167" s="16" t="str">
        <x:v>2000166735-U311</x:v>
      </x:c>
      <x:c r="C167" s="16" t="str">
        <x:v>РОЛИКООПОРА ЖЕЛОБЧАТАЯ ЖГ140-159-20</x:v>
      </x:c>
      <x:c r="D167" s="16" t="str">
        <x:v>Запасные части к конвейерам поверхностным</x:v>
      </x:c>
      <x:c r="E167" s="16" t="str">
        <x:v>ШТ</x:v>
      </x:c>
      <x:c r="F167" s="21" t="n">
        <x:v>18</x:v>
      </x:c>
      <x:c r="G167" s="17" t="n">
        <x:v>1491.3890000000001</x:v>
      </x:c>
      <x:c r="H167" s="17" t="n">
        <x:f>G167*F167</x:f>
        <x:v>26845.002</x:v>
      </x:c>
      <x:c r="I167" s="22" t="str">
        <x:f>HYPERLINK("https://etp-aktiv.ru/catalog/materialy/zapasnye-chasti-k-drobilno-sortirovochnomu-oborudovaniyu/2000166735-U311/","Открыть позицию")</x:f>
        <x:v>Открыть позицию</x:v>
      </x:c>
    </x:row>
    <x:row r="168" ht="28" customHeight="1">
      <x:c r="A168" s="16" t="str">
        <x:v>Кемеровская ГРЭС</x:v>
      </x:c>
      <x:c r="B168" s="16" t="str">
        <x:v>2000257723-U311</x:v>
      </x:c>
      <x:c r="C168" s="16" t="str">
        <x:v>РУКАВ 203409</x:v>
      </x:c>
      <x:c r="D168" s="16" t="str">
        <x:v>ЗЧ к прочему ГШО</x:v>
      </x:c>
      <x:c r="E168" s="16" t="str">
        <x:v>ШТ</x:v>
      </x:c>
      <x:c r="F168" s="21" t="n">
        <x:v>4</x:v>
      </x:c>
      <x:c r="G168" s="17" t="n">
        <x:v>817.5586</x:v>
      </x:c>
      <x:c r="H168" s="17" t="n">
        <x:f>G168*F168</x:f>
        <x:v>3270.2344</x:v>
      </x:c>
      <x:c r="I168" s="22" t="str">
        <x:f>HYPERLINK("https://etp-aktiv.ru/catalog/materialy/zapasnye-chasti-k-gorno-shahtnomu-oborudovaniyu/2000257723-U311/","Открыть позицию")</x:f>
        <x:v>Открыть позицию</x:v>
      </x:c>
    </x:row>
    <x:row r="169" ht="28" customHeight="1">
      <x:c r="A169" s="16" t="str">
        <x:v>Кемеровская ГРЭС</x:v>
      </x:c>
      <x:c r="B169" s="16" t="str">
        <x:v>2000831731-U311</x:v>
      </x:c>
      <x:c r="C169" s="16" t="str">
        <x:v>УПЛОТНЕНИЕ ДРГ-13,5УК 24617-00</x:v>
      </x:c>
      <x:c r="D169" s="16" t="str">
        <x:v>Запасные части к вентиляционному оборудованию</x:v>
      </x:c>
      <x:c r="E169" s="16" t="str">
        <x:v>ШТ</x:v>
      </x:c>
      <x:c r="F169" s="21" t="n">
        <x:v>1</x:v>
      </x:c>
      <x:c r="G169" s="17" t="n">
        <x:v>22865.85</x:v>
      </x:c>
      <x:c r="H169" s="17" t="n">
        <x:f>G169*F169</x:f>
        <x:v>22865.85</x:v>
      </x:c>
      <x:c r="I169" s="22" t="str">
        <x:f>HYPERLINK("https://etp-aktiv.ru/catalog/materialy/zapasnye-chasti-promyshlennogo-oborudovaniya/2000831731-U311/","Открыть позицию")</x:f>
        <x:v>Открыть позицию</x:v>
      </x:c>
    </x:row>
    <x:row r="170" ht="28" customHeight="1">
      <x:c r="A170" s="16" t="str">
        <x:v>Кемеровская ТЭЦ</x:v>
      </x:c>
      <x:c r="B170" s="16" t="str">
        <x:v>2000267011-U312</x:v>
      </x:c>
      <x:c r="C170" s="16" t="str">
        <x:v>ВАННОЧКА МАЛЯРНАЯ 330*260ММ АКОР</x:v>
      </x:c>
      <x:c r="D170" s="16" t="str">
        <x:v>Инструмент и спецоснастка</x:v>
      </x:c>
      <x:c r="E170" s="16" t="str">
        <x:v>ШТ</x:v>
      </x:c>
      <x:c r="F170" s="21" t="n">
        <x:v>3</x:v>
      </x:c>
      <x:c r="G170" s="17" t="n">
        <x:v>45.75</x:v>
      </x:c>
      <x:c r="H170" s="17" t="n">
        <x:f>G170*F170</x:f>
        <x:v>137.25</x:v>
      </x:c>
      <x:c r="I170" s="22" t="str">
        <x:f>HYPERLINK("https://etp-aktiv.ru/catalog/materialy/instrument-i-specosnastka/2000267011-U312/","Открыть позицию")</x:f>
        <x:v>Открыть позицию</x:v>
      </x:c>
    </x:row>
    <x:row r="171" ht="28" customHeight="1">
      <x:c r="A171" s="16" t="str">
        <x:v>Кемеровская ТЭЦ</x:v>
      </x:c>
      <x:c r="B171" s="16" t="str">
        <x:v>2000242372-U312</x:v>
      </x:c>
      <x:c r="C171" s="16" t="str">
        <x:v>ВТУЛКА ПРЕДОХРАНИТЕЛЬНАЯ 255-01-00-08А</x:v>
      </x:c>
      <x:c r="D171" s="16" t="str">
        <x:v>Запасные части к энергетическим насосам</x:v>
      </x:c>
      <x:c r="E171" s="16" t="str">
        <x:v>ШТ</x:v>
      </x:c>
      <x:c r="F171" s="21" t="n">
        <x:v>4</x:v>
      </x:c>
      <x:c r="G171" s="17" t="n">
        <x:v>12810</x:v>
      </x:c>
      <x:c r="H171" s="17" t="n">
        <x:f>G171*F171</x:f>
        <x:v>51240</x:v>
      </x:c>
      <x:c r="I171" s="22" t="str">
        <x:f>HYPERLINK("https://etp-aktiv.ru/catalog/materialy/zapasnye-chasti-promyshlennogo-oborudovaniya/2000242372-U312/","Открыть позицию")</x:f>
        <x:v>Открыть позицию</x:v>
      </x:c>
    </x:row>
    <x:row r="172" ht="28" customHeight="1">
      <x:c r="A172" s="16" t="str">
        <x:v>Кемеровская ТЭЦ</x:v>
      </x:c>
      <x:c r="B172" s="16" t="str">
        <x:v>2000544411-U312</x:v>
      </x:c>
      <x:c r="C172" s="16" t="str">
        <x:v>КИСТЬ-МАКЛОВИЦА ПРОФИ С РУЧКОЙ 140*50 КП</x:v>
      </x:c>
      <x:c r="D172" s="16" t="str">
        <x:v>Инструмент и спецоснастка</x:v>
      </x:c>
      <x:c r="E172" s="16" t="str">
        <x:v>ШТ</x:v>
      </x:c>
      <x:c r="F172" s="21" t="n">
        <x:v>1</x:v>
      </x:c>
      <x:c r="G172" s="17" t="n">
        <x:v>68.92999999999999</x:v>
      </x:c>
      <x:c r="H172" s="17" t="n">
        <x:f>G172*F172</x:f>
        <x:v>68.92999999999999</x:v>
      </x:c>
      <x:c r="I172" s="22" t="str">
        <x:f>HYPERLINK("https://etp-aktiv.ru/catalog/materialy/instrument-i-specosnastka/2000544411-U312/","Открыть позицию")</x:f>
        <x:v>Открыть позицию</x:v>
      </x:c>
    </x:row>
    <x:row r="173" ht="28" customHeight="1">
      <x:c r="A173" s="16" t="str">
        <x:v>Кемеровская ТЭЦ</x:v>
      </x:c>
      <x:c r="B173" s="16" t="str">
        <x:v>2000567258-U312</x:v>
      </x:c>
      <x:c r="C173" s="16" t="str">
        <x:v>КОЛЕСО К3096.00.000СБ НАСОСА ГРАТ 450/67</x:v>
      </x:c>
      <x:c r="D173" s="16" t="str">
        <x:v>Запасные части к шламовым насосам</x:v>
      </x:c>
      <x:c r="E173" s="16" t="str">
        <x:v>ШТ</x:v>
      </x:c>
      <x:c r="F173" s="21" t="n">
        <x:v>1</x:v>
      </x:c>
      <x:c r="G173" s="17" t="n">
        <x:v>83448</x:v>
      </x:c>
      <x:c r="H173" s="17" t="n">
        <x:f>G173*F173</x:f>
        <x:v>83448</x:v>
      </x:c>
      <x:c r="I173" s="22" t="str">
        <x:f>HYPERLINK("https://etp-aktiv.ru/catalog/materialy/zapasnye-chasti-promyshlennogo-oborudovaniya/2000567258-U312/","Открыть позицию")</x:f>
        <x:v>Открыть позицию</x:v>
      </x:c>
    </x:row>
    <x:row r="174" ht="28" customHeight="1">
      <x:c r="A174" s="16" t="str">
        <x:v>Кемеровская ТЭЦ</x:v>
      </x:c>
      <x:c r="B174" s="16" t="str">
        <x:v>2000138134-U312</x:v>
      </x:c>
      <x:c r="C174" s="16" t="str">
        <x:v>КРУГ ОТРЕЗНОЙ 400*4*32 13А</x:v>
      </x:c>
      <x:c r="D174" s="16" t="str">
        <x:v>Инструмент и спецоснастка</x:v>
      </x:c>
      <x:c r="E174" s="16" t="str">
        <x:v>ШТ</x:v>
      </x:c>
      <x:c r="F174" s="21" t="n">
        <x:v>3</x:v>
      </x:c>
      <x:c r="G174" s="17" t="n">
        <x:v>289.9696</x:v>
      </x:c>
      <x:c r="H174" s="17" t="n">
        <x:f>G174*F174</x:f>
        <x:v>869.9088</x:v>
      </x:c>
      <x:c r="I174" s="22" t="str">
        <x:f>HYPERLINK("https://etp-aktiv.ru/catalog/materialy/instrument-i-specosnastka/2000138134-U312/","Открыть позицию")</x:f>
        <x:v>Открыть позицию</x:v>
      </x:c>
    </x:row>
    <x:row r="175" ht="28" customHeight="1">
      <x:c r="A175" s="16" t="str">
        <x:v>Кемеровская ТЭЦ</x:v>
      </x:c>
      <x:c r="B175" s="16" t="str">
        <x:v>2000073593-U312</x:v>
      </x:c>
      <x:c r="C175" s="16" t="str">
        <x:v>ЛЕНТА 2Ш 900-5 ТК200 4,5/3,5</x:v>
      </x:c>
      <x:c r="D175" s="16" t="str">
        <x:v>Лента транспортерная</x:v>
      </x:c>
      <x:c r="E175" s="16" t="str">
        <x:v>М2</x:v>
      </x:c>
      <x:c r="F175" s="30" t="n">
        <x:v>0.5</x:v>
      </x:c>
      <x:c r="G175" s="17" t="n">
        <x:v>3042.9483999999998</x:v>
      </x:c>
      <x:c r="H175" s="17" t="n">
        <x:f>G175*F175</x:f>
        <x:v>1521.4741999999999</x:v>
      </x:c>
      <x:c r="I175" s="22" t="str">
        <x:f>HYPERLINK("https://etp-aktiv.ru/catalog/materialy/lenta-transporternaya/2000073593-U312/","Открыть позицию")</x:f>
        <x:v>Открыть позицию</x:v>
      </x:c>
    </x:row>
    <x:row r="176" ht="28" customHeight="1">
      <x:c r="A176" s="16" t="str">
        <x:v>Кемеровская ТЭЦ</x:v>
      </x:c>
      <x:c r="B176" s="16" t="str">
        <x:v>2000323903-U312</x:v>
      </x:c>
      <x:c r="C176" s="16" t="str">
        <x:v>МЕТЧИК МАШ ГЛУХ ПРАВ 22*1,5</x:v>
      </x:c>
      <x:c r="D176" s="16" t="str">
        <x:v>Инструмент и спецоснастка</x:v>
      </x:c>
      <x:c r="E176" s="16" t="str">
        <x:v>ШТ</x:v>
      </x:c>
      <x:c r="F176" s="21" t="n">
        <x:v>2</x:v>
      </x:c>
      <x:c r="G176" s="17" t="n">
        <x:v>357.155</x:v>
      </x:c>
      <x:c r="H176" s="17" t="n">
        <x:f>G176*F176</x:f>
        <x:v>714.31</x:v>
      </x:c>
      <x:c r="I176" s="22" t="str">
        <x:f>HYPERLINK("https://etp-aktiv.ru/catalog/materialy/instrument-i-specosnastka/2000323903-U312/","Открыть позицию")</x:f>
        <x:v>Открыть позицию</x:v>
      </x:c>
    </x:row>
    <x:row r="177" ht="28" customHeight="1">
      <x:c r="A177" s="16" t="str">
        <x:v>Кемеровская ТЭЦ</x:v>
      </x:c>
      <x:c r="B177" s="16" t="str">
        <x:v>2000004651-U312</x:v>
      </x:c>
      <x:c r="C177" s="16" t="str">
        <x:v>ПОДШИПНИК 1206</x:v>
      </x:c>
      <x:c r="D177" s="16" t="str">
        <x:v>Подшипники</x:v>
      </x:c>
      <x:c r="E177" s="16" t="str">
        <x:v>ШТ</x:v>
      </x:c>
      <x:c r="F177" s="21" t="n">
        <x:v>4</x:v>
      </x:c>
      <x:c r="G177" s="17" t="n">
        <x:v>116.083</x:v>
      </x:c>
      <x:c r="H177" s="17" t="n">
        <x:f>G177*F177</x:f>
        <x:v>464.332</x:v>
      </x:c>
      <x:c r="I177" s="22" t="str">
        <x:f>HYPERLINK("https://etp-aktiv.ru/catalog/materialy/podshipniki/2000004651-U312/","Открыть позицию")</x:f>
        <x:v>Открыть позицию</x:v>
      </x:c>
    </x:row>
    <x:row r="178" ht="28" customHeight="1">
      <x:c r="A178" s="16" t="str">
        <x:v>Кемеровская ТЭЦ</x:v>
      </x:c>
      <x:c r="B178" s="16" t="str">
        <x:v>2000006100-U312</x:v>
      </x:c>
      <x:c r="C178" s="16" t="str">
        <x:v>ПОДШИПНИК 1308</x:v>
      </x:c>
      <x:c r="D178" s="16" t="str">
        <x:v>Подшипники</x:v>
      </x:c>
      <x:c r="E178" s="16" t="str">
        <x:v>ШТ</x:v>
      </x:c>
      <x:c r="F178" s="21" t="n">
        <x:v>4</x:v>
      </x:c>
      <x:c r="G178" s="17" t="n">
        <x:v>302.7552</x:v>
      </x:c>
      <x:c r="H178" s="17" t="n">
        <x:f>G178*F178</x:f>
        <x:v>1211.0208</x:v>
      </x:c>
      <x:c r="I178" s="22" t="str">
        <x:f>HYPERLINK("https://etp-aktiv.ru/catalog/materialy/podshipniki/2000006100-U312/","Открыть позицию")</x:f>
        <x:v>Открыть позицию</x:v>
      </x:c>
    </x:row>
    <x:row r="179" ht="28" customHeight="1">
      <x:c r="A179" s="16" t="str">
        <x:v>Кемеровская ТЭЦ</x:v>
      </x:c>
      <x:c r="B179" s="16" t="str">
        <x:v>2000116405-U312</x:v>
      </x:c>
      <x:c r="C179" s="16" t="str">
        <x:v>ПОДШИПНИК 1607</x:v>
      </x:c>
      <x:c r="D179" s="16" t="str">
        <x:v>Подшипники</x:v>
      </x:c>
      <x:c r="E179" s="16" t="str">
        <x:v>ШТ</x:v>
      </x:c>
      <x:c r="F179" s="21" t="n">
        <x:v>1</x:v>
      </x:c>
      <x:c r="G179" s="17" t="n">
        <x:v>315.675</x:v>
      </x:c>
      <x:c r="H179" s="17" t="n">
        <x:f>G179*F179</x:f>
        <x:v>315.675</x:v>
      </x:c>
      <x:c r="I179" s="22" t="str">
        <x:f>HYPERLINK("https://etp-aktiv.ru/catalog/materialy/podshipniki/2000116405-U312/","Открыть позицию")</x:f>
        <x:v>Открыть позицию</x:v>
      </x:c>
    </x:row>
    <x:row r="180" ht="28" customHeight="1">
      <x:c r="A180" s="16" t="str">
        <x:v>Кемеровская ТЭЦ</x:v>
      </x:c>
      <x:c r="B180" s="16" t="str">
        <x:v>2000116628-U312</x:v>
      </x:c>
      <x:c r="C180" s="16" t="str">
        <x:v>ПОДШИПНИК 1612</x:v>
      </x:c>
      <x:c r="D180" s="16" t="str">
        <x:v>Подшипники</x:v>
      </x:c>
      <x:c r="E180" s="16" t="str">
        <x:v>ШТ</x:v>
      </x:c>
      <x:c r="F180" s="21" t="n">
        <x:v>16</x:v>
      </x:c>
      <x:c r="G180" s="17" t="n">
        <x:v>960.2498</x:v>
      </x:c>
      <x:c r="H180" s="17" t="n">
        <x:f>G180*F180</x:f>
        <x:v>15363.9968</x:v>
      </x:c>
      <x:c r="I180" s="22" t="str">
        <x:f>HYPERLINK("https://etp-aktiv.ru/catalog/materialy/podshipniki/2000116628-U312/","Открыть позицию")</x:f>
        <x:v>Открыть позицию</x:v>
      </x:c>
    </x:row>
    <x:row r="181" ht="28" customHeight="1">
      <x:c r="A181" s="16" t="str">
        <x:v>Кемеровская ТЭЦ</x:v>
      </x:c>
      <x:c r="B181" s="16" t="str">
        <x:v>2000116308-U312</x:v>
      </x:c>
      <x:c r="C181" s="16" t="str">
        <x:v>ПОДШИПНИК 180202</x:v>
      </x:c>
      <x:c r="D181" s="16" t="str">
        <x:v>Подшипники</x:v>
      </x:c>
      <x:c r="E181" s="16" t="str">
        <x:v>ШТ</x:v>
      </x:c>
      <x:c r="F181" s="21" t="n">
        <x:v>1</x:v>
      </x:c>
      <x:c r="G181" s="17" t="n">
        <x:v>36.1242</x:v>
      </x:c>
      <x:c r="H181" s="17" t="n">
        <x:f>G181*F181</x:f>
        <x:v>36.1242</x:v>
      </x:c>
      <x:c r="I181" s="22" t="str">
        <x:f>HYPERLINK("https://etp-aktiv.ru/catalog/materialy/podshipniki/2000116308-U312/","Открыть позицию")</x:f>
        <x:v>Открыть позицию</x:v>
      </x:c>
    </x:row>
    <x:row r="182" ht="28" customHeight="1">
      <x:c r="A182" s="16" t="str">
        <x:v>Кемеровская ТЭЦ</x:v>
      </x:c>
      <x:c r="B182" s="16" t="str">
        <x:v>2000116370-U312</x:v>
      </x:c>
      <x:c r="C182" s="16" t="str">
        <x:v>ПОДШИПНИК 180209</x:v>
      </x:c>
      <x:c r="D182" s="16" t="str">
        <x:v>Подшипники</x:v>
      </x:c>
      <x:c r="E182" s="16" t="str">
        <x:v>ШТ</x:v>
      </x:c>
      <x:c r="F182" s="21" t="n">
        <x:v>2</x:v>
      </x:c>
      <x:c r="G182" s="17" t="n">
        <x:v>101.565</x:v>
      </x:c>
      <x:c r="H182" s="17" t="n">
        <x:f>G182*F182</x:f>
        <x:v>203.13</x:v>
      </x:c>
      <x:c r="I182" s="22" t="str">
        <x:f>HYPERLINK("https://etp-aktiv.ru/catalog/materialy/podshipniki/2000116370-U312/","Открыть позицию")</x:f>
        <x:v>Открыть позицию</x:v>
      </x:c>
    </x:row>
    <x:row r="183" ht="28" customHeight="1">
      <x:c r="A183" s="16" t="str">
        <x:v>Кемеровская ТЭЦ</x:v>
      </x:c>
      <x:c r="B183" s="16" t="str">
        <x:v>2000116383-U312</x:v>
      </x:c>
      <x:c r="C183" s="16" t="str">
        <x:v>ПОДШИПНИК 180210</x:v>
      </x:c>
      <x:c r="D183" s="16" t="str">
        <x:v>Подшипники</x:v>
      </x:c>
      <x:c r="E183" s="16" t="str">
        <x:v>ШТ</x:v>
      </x:c>
      <x:c r="F183" s="21" t="n">
        <x:v>6</x:v>
      </x:c>
      <x:c r="G183" s="17" t="n">
        <x:v>100.8818</x:v>
      </x:c>
      <x:c r="H183" s="17" t="n">
        <x:f>G183*F183</x:f>
        <x:v>605.2908</x:v>
      </x:c>
      <x:c r="I183" s="22" t="str">
        <x:f>HYPERLINK("https://etp-aktiv.ru/catalog/materialy/podshipniki/2000116383-U312/","Открыть позицию")</x:f>
        <x:v>Открыть позицию</x:v>
      </x:c>
    </x:row>
    <x:row r="184" ht="28" customHeight="1">
      <x:c r="A184" s="16" t="str">
        <x:v>Кемеровская ТЭЦ</x:v>
      </x:c>
      <x:c r="B184" s="16" t="str">
        <x:v>2000116359-U312</x:v>
      </x:c>
      <x:c r="C184" s="16" t="str">
        <x:v>ПОДШИПНИК 180306</x:v>
      </x:c>
      <x:c r="D184" s="16" t="str">
        <x:v>Подшипники</x:v>
      </x:c>
      <x:c r="E184" s="16" t="str">
        <x:v>ШТ</x:v>
      </x:c>
      <x:c r="F184" s="21" t="n">
        <x:v>8</x:v>
      </x:c>
      <x:c r="G184" s="17" t="n">
        <x:v>204.716</x:v>
      </x:c>
      <x:c r="H184" s="17" t="n">
        <x:f>G184*F184</x:f>
        <x:v>1637.728</x:v>
      </x:c>
      <x:c r="I184" s="22" t="str">
        <x:f>HYPERLINK("https://etp-aktiv.ru/catalog/materialy/podshipniki/2000116359-U312/","Открыть позицию")</x:f>
        <x:v>Открыть позицию</x:v>
      </x:c>
    </x:row>
    <x:row r="185" ht="28" customHeight="1">
      <x:c r="A185" s="16" t="str">
        <x:v>Кемеровская ТЭЦ</x:v>
      </x:c>
      <x:c r="B185" s="16" t="str">
        <x:v>2000116363-U312</x:v>
      </x:c>
      <x:c r="C185" s="16" t="str">
        <x:v>ПОДШИПНИК 180307</x:v>
      </x:c>
      <x:c r="D185" s="16" t="str">
        <x:v>Подшипники</x:v>
      </x:c>
      <x:c r="E185" s="16" t="str">
        <x:v>ШТ</x:v>
      </x:c>
      <x:c r="F185" s="21" t="n">
        <x:v>8</x:v>
      </x:c>
      <x:c r="G185" s="17" t="n">
        <x:v>190.0028</x:v>
      </x:c>
      <x:c r="H185" s="17" t="n">
        <x:f>G185*F185</x:f>
        <x:v>1520.0224</x:v>
      </x:c>
      <x:c r="I185" s="22" t="str">
        <x:f>HYPERLINK("https://etp-aktiv.ru/catalog/materialy/podshipniki/2000116363-U312/","Открыть позицию")</x:f>
        <x:v>Открыть позицию</x:v>
      </x:c>
    </x:row>
    <x:row r="186" ht="28" customHeight="1">
      <x:c r="A186" s="16" t="str">
        <x:v>Кемеровская ТЭЦ</x:v>
      </x:c>
      <x:c r="B186" s="16" t="str">
        <x:v>2000115325-U312</x:v>
      </x:c>
      <x:c r="C186" s="16" t="str">
        <x:v>ПОДШИПНИК 180308</x:v>
      </x:c>
      <x:c r="D186" s="16" t="str">
        <x:v>Подшипники</x:v>
      </x:c>
      <x:c r="E186" s="16" t="str">
        <x:v>ШТ</x:v>
      </x:c>
      <x:c r="F186" s="21" t="n">
        <x:v>12</x:v>
      </x:c>
      <x:c r="G186" s="17" t="n">
        <x:v>290.0062</x:v>
      </x:c>
      <x:c r="H186" s="17" t="n">
        <x:f>G186*F186</x:f>
        <x:v>3480.0743999999995</x:v>
      </x:c>
      <x:c r="I186" s="22" t="str">
        <x:f>HYPERLINK("https://etp-aktiv.ru/catalog/materialy/podshipniki/2000115325-U312/","Открыть позицию")</x:f>
        <x:v>Открыть позицию</x:v>
      </x:c>
    </x:row>
    <x:row r="187" ht="28" customHeight="1">
      <x:c r="A187" s="16" t="str">
        <x:v>Кемеровская ТЭЦ</x:v>
      </x:c>
      <x:c r="B187" s="16" t="str">
        <x:v>2000116905-U312</x:v>
      </x:c>
      <x:c r="C187" s="16" t="str">
        <x:v>ПОДШИПНИК 180502</x:v>
      </x:c>
      <x:c r="D187" s="16" t="str">
        <x:v>Подшипники</x:v>
      </x:c>
      <x:c r="E187" s="16" t="str">
        <x:v>ШТ</x:v>
      </x:c>
      <x:c r="F187" s="21" t="n">
        <x:v>6</x:v>
      </x:c>
      <x:c r="G187" s="17" t="n">
        <x:v>72.285</x:v>
      </x:c>
      <x:c r="H187" s="17" t="n">
        <x:f>G187*F187</x:f>
        <x:v>433.71</x:v>
      </x:c>
      <x:c r="I187" s="22" t="str">
        <x:f>HYPERLINK("https://etp-aktiv.ru/catalog/materialy/podshipniki/2000116905-U312/","Открыть позицию")</x:f>
        <x:v>Открыть позицию</x:v>
      </x:c>
    </x:row>
    <x:row r="188" ht="28" customHeight="1">
      <x:c r="A188" s="16" t="str">
        <x:v>Кемеровская ТЭЦ</x:v>
      </x:c>
      <x:c r="B188" s="16" t="str">
        <x:v>2000116907-U312</x:v>
      </x:c>
      <x:c r="C188" s="16" t="str">
        <x:v>ПОДШИПНИК 180603</x:v>
      </x:c>
      <x:c r="D188" s="16" t="str">
        <x:v>Подшипники</x:v>
      </x:c>
      <x:c r="E188" s="16" t="str">
        <x:v>ШТ</x:v>
      </x:c>
      <x:c r="F188" s="21" t="n">
        <x:v>6</x:v>
      </x:c>
      <x:c r="G188" s="17" t="n">
        <x:v>154.32999999999998</x:v>
      </x:c>
      <x:c r="H188" s="17" t="n">
        <x:f>G188*F188</x:f>
        <x:v>925.9799999999999</x:v>
      </x:c>
      <x:c r="I188" s="22" t="str">
        <x:f>HYPERLINK("https://etp-aktiv.ru/catalog/materialy/podshipniki/2000116907-U312/","Открыть позицию")</x:f>
        <x:v>Открыть позицию</x:v>
      </x:c>
    </x:row>
    <x:row r="189" ht="28" customHeight="1">
      <x:c r="A189" s="16" t="str">
        <x:v>Кемеровская ТЭЦ</x:v>
      </x:c>
      <x:c r="B189" s="16" t="str">
        <x:v>2000116455-U312</x:v>
      </x:c>
      <x:c r="C189" s="16" t="str">
        <x:v>ПОДШИПНИК 180609</x:v>
      </x:c>
      <x:c r="D189" s="16" t="str">
        <x:v>Подшипники</x:v>
      </x:c>
      <x:c r="E189" s="16" t="str">
        <x:v>ШТ</x:v>
      </x:c>
      <x:c r="F189" s="21" t="n">
        <x:v>2</x:v>
      </x:c>
      <x:c r="G189" s="17" t="n">
        <x:v>520.8058</x:v>
      </x:c>
      <x:c r="H189" s="17" t="n">
        <x:f>G189*F189</x:f>
        <x:v>1041.6116</x:v>
      </x:c>
      <x:c r="I189" s="22" t="str">
        <x:f>HYPERLINK("https://etp-aktiv.ru/catalog/materialy/podshipniki/2000116455-U312/","Открыть позицию")</x:f>
        <x:v>Открыть позицию</x:v>
      </x:c>
    </x:row>
    <x:row r="190" ht="28" customHeight="1">
      <x:c r="A190" s="16" t="str">
        <x:v>Кемеровская ТЭЦ</x:v>
      </x:c>
      <x:c r="B190" s="16" t="str">
        <x:v>2000127006-U312</x:v>
      </x:c>
      <x:c r="C190" s="16" t="str">
        <x:v>ПОДШИПНИК 201</x:v>
      </x:c>
      <x:c r="D190" s="16" t="str">
        <x:v>Подшипники</x:v>
      </x:c>
      <x:c r="E190" s="16" t="str">
        <x:v>ШТ</x:v>
      </x:c>
      <x:c r="F190" s="21" t="n">
        <x:v>2</x:v>
      </x:c>
      <x:c r="G190" s="17" t="n">
        <x:v>18.653799999999997</x:v>
      </x:c>
      <x:c r="H190" s="17" t="n">
        <x:f>G190*F190</x:f>
        <x:v>37.307599999999994</x:v>
      </x:c>
      <x:c r="I190" s="22" t="str">
        <x:f>HYPERLINK("https://etp-aktiv.ru/catalog/materialy/podshipniki/2000127006-U312/","Открыть позицию")</x:f>
        <x:v>Открыть позицию</x:v>
      </x:c>
    </x:row>
    <x:row r="191" ht="28" customHeight="1">
      <x:c r="A191" s="16" t="str">
        <x:v>Кемеровская ТЭЦ</x:v>
      </x:c>
      <x:c r="B191" s="16" t="str">
        <x:v>2000116321-U312</x:v>
      </x:c>
      <x:c r="C191" s="16" t="str">
        <x:v>ПОДШИПНИК 205</x:v>
      </x:c>
      <x:c r="D191" s="16" t="str">
        <x:v>Подшипники</x:v>
      </x:c>
      <x:c r="E191" s="16" t="str">
        <x:v>ШТ</x:v>
      </x:c>
      <x:c r="F191" s="21" t="n">
        <x:v>19</x:v>
      </x:c>
      <x:c r="G191" s="17" t="n">
        <x:v>32.2934</x:v>
      </x:c>
      <x:c r="H191" s="17" t="n">
        <x:f>G191*F191</x:f>
        <x:v>613.5745999999999</x:v>
      </x:c>
      <x:c r="I191" s="22" t="str">
        <x:f>HYPERLINK("https://etp-aktiv.ru/catalog/materialy/podshipniki/2000116321-U312/","Открыть позицию")</x:f>
        <x:v>Открыть позицию</x:v>
      </x:c>
    </x:row>
    <x:row r="192" ht="28" customHeight="1">
      <x:c r="A192" s="16" t="str">
        <x:v>Кемеровская ТЭЦ</x:v>
      </x:c>
      <x:c r="B192" s="16" t="str">
        <x:v>2000116336-U312</x:v>
      </x:c>
      <x:c r="C192" s="16" t="str">
        <x:v>ПОДШИПНИК 207</x:v>
      </x:c>
      <x:c r="D192" s="16" t="str">
        <x:v>Подшипники</x:v>
      </x:c>
      <x:c r="E192" s="16" t="str">
        <x:v>ШТ</x:v>
      </x:c>
      <x:c r="F192" s="21" t="n">
        <x:v>5</x:v>
      </x:c>
      <x:c r="G192" s="17" t="n">
        <x:v>130.0032</x:v>
      </x:c>
      <x:c r="H192" s="17" t="n">
        <x:f>G192*F192</x:f>
        <x:v>650.016</x:v>
      </x:c>
      <x:c r="I192" s="22" t="str">
        <x:f>HYPERLINK("https://etp-aktiv.ru/catalog/materialy/podshipniki/2000116336-U312/","Открыть позицию")</x:f>
        <x:v>Открыть позицию</x:v>
      </x:c>
    </x:row>
    <x:row r="193" ht="28" customHeight="1">
      <x:c r="A193" s="16" t="str">
        <x:v>Кемеровская ТЭЦ</x:v>
      </x:c>
      <x:c r="B193" s="16" t="str">
        <x:v>2000116350-U312</x:v>
      </x:c>
      <x:c r="C193" s="16" t="str">
        <x:v>ПОДШИПНИК 209</x:v>
      </x:c>
      <x:c r="D193" s="16" t="str">
        <x:v>Подшипники</x:v>
      </x:c>
      <x:c r="E193" s="16" t="str">
        <x:v>ШТ</x:v>
      </x:c>
      <x:c r="F193" s="21" t="n">
        <x:v>2</x:v>
      </x:c>
      <x:c r="G193" s="17" t="n">
        <x:v>64.5258</x:v>
      </x:c>
      <x:c r="H193" s="17" t="n">
        <x:f>G193*F193</x:f>
        <x:v>129.0516</x:v>
      </x:c>
      <x:c r="I193" s="22" t="str">
        <x:f>HYPERLINK("https://etp-aktiv.ru/catalog/materialy/podshipniki/2000116350-U312/","Открыть позицию")</x:f>
        <x:v>Открыть позицию</x:v>
      </x:c>
    </x:row>
    <x:row r="194" ht="28" customHeight="1">
      <x:c r="A194" s="16" t="str">
        <x:v>Кемеровская ТЭЦ</x:v>
      </x:c>
      <x:c r="B194" s="16" t="str">
        <x:v>2000116367-U312</x:v>
      </x:c>
      <x:c r="C194" s="16" t="str">
        <x:v>ПОДШИПНИК 210</x:v>
      </x:c>
      <x:c r="D194" s="16" t="str">
        <x:v>Подшипники</x:v>
      </x:c>
      <x:c r="E194" s="16" t="str">
        <x:v>ШТ</x:v>
      </x:c>
      <x:c r="F194" s="21" t="n">
        <x:v>3</x:v>
      </x:c>
      <x:c r="G194" s="17" t="n">
        <x:v>158.0632</x:v>
      </x:c>
      <x:c r="H194" s="17" t="n">
        <x:f>G194*F194</x:f>
        <x:v>474.1896</x:v>
      </x:c>
      <x:c r="I194" s="22" t="str">
        <x:f>HYPERLINK("https://etp-aktiv.ru/catalog/materialy/podshipniki/2000116367-U312/","Открыть позицию")</x:f>
        <x:v>Открыть позицию</x:v>
      </x:c>
    </x:row>
    <x:row r="195" ht="28" customHeight="1">
      <x:c r="A195" s="16" t="str">
        <x:v>Кемеровская ТЭЦ</x:v>
      </x:c>
      <x:c r="B195" s="16" t="str">
        <x:v>2000115338-U312</x:v>
      </x:c>
      <x:c r="C195" s="16" t="str">
        <x:v>ПОДШИПНИК 218</x:v>
      </x:c>
      <x:c r="D195" s="16" t="str">
        <x:v>Подшипники</x:v>
      </x:c>
      <x:c r="E195" s="16" t="str">
        <x:v>ШТ</x:v>
      </x:c>
      <x:c r="F195" s="21" t="n">
        <x:v>16</x:v>
      </x:c>
      <x:c r="G195" s="17" t="n">
        <x:v>695.0096</x:v>
      </x:c>
      <x:c r="H195" s="17" t="n">
        <x:f>G195*F195</x:f>
        <x:v>11120.1536</x:v>
      </x:c>
      <x:c r="I195" s="22" t="str">
        <x:f>HYPERLINK("https://etp-aktiv.ru/catalog/materialy/podshipniki/2000115338-U312/","Открыть позицию")</x:f>
        <x:v>Открыть позицию</x:v>
      </x:c>
    </x:row>
    <x:row r="196" ht="28" customHeight="1">
      <x:c r="A196" s="16" t="str">
        <x:v>Кемеровская ТЭЦ</x:v>
      </x:c>
      <x:c r="B196" s="16" t="str">
        <x:v>2000034345-U312</x:v>
      </x:c>
      <x:c r="C196" s="16" t="str">
        <x:v>ПОДШИПНИК 2230</x:v>
      </x:c>
      <x:c r="D196" s="16" t="str">
        <x:v>Подшипники</x:v>
      </x:c>
      <x:c r="E196" s="16" t="str">
        <x:v>ШТ</x:v>
      </x:c>
      <x:c r="F196" s="21" t="n">
        <x:v>1</x:v>
      </x:c>
      <x:c r="G196" s="17" t="n">
        <x:v>2896.2068</x:v>
      </x:c>
      <x:c r="H196" s="17" t="n">
        <x:f>G196*F196</x:f>
        <x:v>2896.2068</x:v>
      </x:c>
      <x:c r="I196" s="22" t="str">
        <x:f>HYPERLINK("https://etp-aktiv.ru/catalog/materialy/podshipniki/2000034345-U312/","Открыть позицию")</x:f>
        <x:v>Открыть позицию</x:v>
      </x:c>
    </x:row>
    <x:row r="197" ht="28" customHeight="1">
      <x:c r="A197" s="16" t="str">
        <x:v>Кемеровская ТЭЦ</x:v>
      </x:c>
      <x:c r="B197" s="16" t="str">
        <x:v>2000208805-U312</x:v>
      </x:c>
      <x:c r="C197" s="16" t="str">
        <x:v>ПОДШИПНИК 2317 КМ</x:v>
      </x:c>
      <x:c r="D197" s="16" t="str">
        <x:v>Подшипники</x:v>
      </x:c>
      <x:c r="E197" s="16" t="str">
        <x:v>ШТ</x:v>
      </x:c>
      <x:c r="F197" s="21" t="n">
        <x:v>1</x:v>
      </x:c>
      <x:c r="G197" s="17" t="n">
        <x:v>1492.6943999999999</x:v>
      </x:c>
      <x:c r="H197" s="17" t="n">
        <x:f>G197*F197</x:f>
        <x:v>1492.6943999999999</x:v>
      </x:c>
      <x:c r="I197" s="22" t="str">
        <x:f>HYPERLINK("https://etp-aktiv.ru/catalog/materialy/podshipniki/2000208805-U312/","Открыть позицию")</x:f>
        <x:v>Открыть позицию</x:v>
      </x:c>
    </x:row>
    <x:row r="198" ht="28" customHeight="1">
      <x:c r="A198" s="16" t="str">
        <x:v>Кемеровская ТЭЦ</x:v>
      </x:c>
      <x:c r="B198" s="16" t="str">
        <x:v>2000116332-U312</x:v>
      </x:c>
      <x:c r="C198" s="16" t="str">
        <x:v>ПОДШИПНИК 302</x:v>
      </x:c>
      <x:c r="D198" s="16" t="str">
        <x:v>Подшипники</x:v>
      </x:c>
      <x:c r="E198" s="16" t="str">
        <x:v>ШТ</x:v>
      </x:c>
      <x:c r="F198" s="21" t="n">
        <x:v>2</x:v>
      </x:c>
      <x:c r="G198" s="17" t="n">
        <x:v>28.828599999999998</x:v>
      </x:c>
      <x:c r="H198" s="17" t="n">
        <x:f>G198*F198</x:f>
        <x:v>57.657199999999996</x:v>
      </x:c>
      <x:c r="I198" s="22" t="str">
        <x:f>HYPERLINK("https://etp-aktiv.ru/catalog/materialy/podshipniki/2000116332-U312/","Открыть позицию")</x:f>
        <x:v>Открыть позицию</x:v>
      </x:c>
    </x:row>
    <x:row r="199" ht="28" customHeight="1">
      <x:c r="A199" s="16" t="str">
        <x:v>Кемеровская ТЭЦ</x:v>
      </x:c>
      <x:c r="B199" s="16" t="str">
        <x:v>2000116461-U312</x:v>
      </x:c>
      <x:c r="C199" s="16" t="str">
        <x:v>ПОДШИПНИК 312</x:v>
      </x:c>
      <x:c r="D199" s="16" t="str">
        <x:v>Подшипники</x:v>
      </x:c>
      <x:c r="E199" s="16" t="str">
        <x:v>ШТ</x:v>
      </x:c>
      <x:c r="F199" s="21" t="n">
        <x:v>4</x:v>
      </x:c>
      <x:c r="G199" s="17" t="n">
        <x:v>344.8818</x:v>
      </x:c>
      <x:c r="H199" s="17" t="n">
        <x:f>G199*F199</x:f>
        <x:v>1379.5272</x:v>
      </x:c>
      <x:c r="I199" s="22" t="str">
        <x:f>HYPERLINK("https://etp-aktiv.ru/catalog/materialy/podshipniki/2000116461-U312/","Открыть позицию")</x:f>
        <x:v>Открыть позицию</x:v>
      </x:c>
    </x:row>
    <x:row r="200" ht="28" customHeight="1">
      <x:c r="A200" s="16" t="str">
        <x:v>Кемеровская ТЭЦ</x:v>
      </x:c>
      <x:c r="B200" s="16" t="str">
        <x:v>2000116524-U312</x:v>
      </x:c>
      <x:c r="C200" s="16" t="str">
        <x:v>ПОДШИПНИК 315</x:v>
      </x:c>
      <x:c r="D200" s="16" t="str">
        <x:v>Подшипники</x:v>
      </x:c>
      <x:c r="E200" s="16" t="str">
        <x:v>ШТ</x:v>
      </x:c>
      <x:c r="F200" s="21" t="n">
        <x:v>1</x:v>
      </x:c>
      <x:c r="G200" s="17" t="n">
        <x:v>958.2856</x:v>
      </x:c>
      <x:c r="H200" s="17" t="n">
        <x:f>G200*F200</x:f>
        <x:v>958.2856</x:v>
      </x:c>
      <x:c r="I200" s="22" t="str">
        <x:f>HYPERLINK("https://etp-aktiv.ru/catalog/materialy/podshipniki/2000116524-U312/","Открыть позицию")</x:f>
        <x:v>Открыть позицию</x:v>
      </x:c>
    </x:row>
    <x:row r="201" ht="28" customHeight="1">
      <x:c r="A201" s="16" t="str">
        <x:v>Кемеровская ТЭЦ</x:v>
      </x:c>
      <x:c r="B201" s="16" t="str">
        <x:v>2000116607-U312</x:v>
      </x:c>
      <x:c r="C201" s="16" t="str">
        <x:v>ПОДШИПНИК 319</x:v>
      </x:c>
      <x:c r="D201" s="16" t="str">
        <x:v>Подшипники</x:v>
      </x:c>
      <x:c r="E201" s="16" t="str">
        <x:v>ШТ</x:v>
      </x:c>
      <x:c r="F201" s="21" t="n">
        <x:v>2</x:v>
      </x:c>
      <x:c r="G201" s="17" t="n">
        <x:v>1488.1072</x:v>
      </x:c>
      <x:c r="H201" s="17" t="n">
        <x:f>G201*F201</x:f>
        <x:v>2976.2144</x:v>
      </x:c>
      <x:c r="I201" s="22" t="str">
        <x:f>HYPERLINK("https://etp-aktiv.ru/catalog/materialy/podshipniki/2000116607-U312/","Открыть позицию")</x:f>
        <x:v>Открыть позицию</x:v>
      </x:c>
    </x:row>
    <x:row r="202" ht="28" customHeight="1">
      <x:c r="A202" s="16" t="str">
        <x:v>Кемеровская ТЭЦ</x:v>
      </x:c>
      <x:c r="B202" s="16" t="str">
        <x:v>2000116640-U312</x:v>
      </x:c>
      <x:c r="C202" s="16" t="str">
        <x:v>ПОДШИПНИК 3518</x:v>
      </x:c>
      <x:c r="D202" s="16" t="str">
        <x:v>Подшипники</x:v>
      </x:c>
      <x:c r="E202" s="16" t="str">
        <x:v>ШТ</x:v>
      </x:c>
      <x:c r="F202" s="21" t="n">
        <x:v>10</x:v>
      </x:c>
      <x:c r="G202" s="17" t="n">
        <x:v>1505.4678</x:v>
      </x:c>
      <x:c r="H202" s="17" t="n">
        <x:f>G202*F202</x:f>
        <x:v>15054.678</x:v>
      </x:c>
      <x:c r="I202" s="22" t="str">
        <x:f>HYPERLINK("https://etp-aktiv.ru/catalog/materialy/podshipniki/2000116640-U312/","Открыть позицию")</x:f>
        <x:v>Открыть позицию</x:v>
      </x:c>
    </x:row>
    <x:row r="203" ht="28" customHeight="1">
      <x:c r="A203" s="16" t="str">
        <x:v>Кемеровская ТЭЦ</x:v>
      </x:c>
      <x:c r="B203" s="16" t="str">
        <x:v>2000116653-U312</x:v>
      </x:c>
      <x:c r="C203" s="16" t="str">
        <x:v>ПОДШИПНИК 3522</x:v>
      </x:c>
      <x:c r="D203" s="16" t="str">
        <x:v>Подшипники</x:v>
      </x:c>
      <x:c r="E203" s="16" t="str">
        <x:v>ШТ</x:v>
      </x:c>
      <x:c r="F203" s="21" t="n">
        <x:v>9</x:v>
      </x:c>
      <x:c r="G203" s="17" t="n">
        <x:v>2607.8963999999996</x:v>
      </x:c>
      <x:c r="H203" s="17" t="n">
        <x:f>G203*F203</x:f>
        <x:v>23471.067599999995</x:v>
      </x:c>
      <x:c r="I203" s="22" t="str">
        <x:f>HYPERLINK("https://etp-aktiv.ru/catalog/materialy/podshipniki/2000116653-U312/","Открыть позицию")</x:f>
        <x:v>Открыть позицию</x:v>
      </x:c>
    </x:row>
    <x:row r="204" ht="28" customHeight="1">
      <x:c r="A204" s="16" t="str">
        <x:v>Кемеровская ТЭЦ</x:v>
      </x:c>
      <x:c r="B204" s="16" t="str">
        <x:v>2000116604-U312</x:v>
      </x:c>
      <x:c r="C204" s="16" t="str">
        <x:v>ПОДШИПНИК 3612</x:v>
      </x:c>
      <x:c r="D204" s="16" t="str">
        <x:v>Подшипники</x:v>
      </x:c>
      <x:c r="E204" s="16" t="str">
        <x:v>ШТ</x:v>
      </x:c>
      <x:c r="F204" s="21" t="n">
        <x:v>1</x:v>
      </x:c>
      <x:c r="G204" s="17" t="n">
        <x:v>1399.9987999999998</x:v>
      </x:c>
      <x:c r="H204" s="17" t="n">
        <x:f>G204*F204</x:f>
        <x:v>1399.9987999999998</x:v>
      </x:c>
      <x:c r="I204" s="22" t="str">
        <x:f>HYPERLINK("https://etp-aktiv.ru/catalog/materialy/podshipniki/2000116604-U312/","Открыть позицию")</x:f>
        <x:v>Открыть позицию</x:v>
      </x:c>
    </x:row>
    <x:row r="205" ht="28" customHeight="1">
      <x:c r="A205" s="16" t="str">
        <x:v>Кемеровская ТЭЦ</x:v>
      </x:c>
      <x:c r="B205" s="16" t="str">
        <x:v>2000645950-U312</x:v>
      </x:c>
      <x:c r="C205" s="16" t="str">
        <x:v>ПОДШИПНИК 3622 АМНК5</x:v>
      </x:c>
      <x:c r="D205" s="16" t="str">
        <x:v>Подшипники</x:v>
      </x:c>
      <x:c r="E205" s="16" t="str">
        <x:v>ШТ</x:v>
      </x:c>
      <x:c r="F205" s="21" t="n">
        <x:v>2</x:v>
      </x:c>
      <x:c r="G205" s="17" t="n">
        <x:v>17070.923199999997</x:v>
      </x:c>
      <x:c r="H205" s="17" t="n">
        <x:f>G205*F205</x:f>
        <x:v>34141.846399999995</x:v>
      </x:c>
      <x:c r="I205" s="22" t="str">
        <x:f>HYPERLINK("https://etp-aktiv.ru/catalog/materialy/podshipniki/2000645950-U312/","Открыть позицию")</x:f>
        <x:v>Открыть позицию</x:v>
      </x:c>
    </x:row>
    <x:row r="206" ht="28" customHeight="1">
      <x:c r="A206" s="16" t="str">
        <x:v>Кемеровская ТЭЦ</x:v>
      </x:c>
      <x:c r="B206" s="16" t="str">
        <x:v>2000574442-U312</x:v>
      </x:c>
      <x:c r="C206" s="16" t="str">
        <x:v>ПОДШИПНИК 3622Н А Ш5</x:v>
      </x:c>
      <x:c r="D206" s="16" t="str">
        <x:v>Подшипники</x:v>
      </x:c>
      <x:c r="E206" s="16" t="str">
        <x:v>ШТ</x:v>
      </x:c>
      <x:c r="F206" s="21" t="n">
        <x:v>2</x:v>
      </x:c>
      <x:c r="G206" s="17" t="n">
        <x:v>10399.89</x:v>
      </x:c>
      <x:c r="H206" s="17" t="n">
        <x:f>G206*F206</x:f>
        <x:v>20799.78</x:v>
      </x:c>
      <x:c r="I206" s="22" t="str">
        <x:f>HYPERLINK("https://etp-aktiv.ru/catalog/materialy/podshipniki/2000574442-U312/","Открыть позицию")</x:f>
        <x:v>Открыть позицию</x:v>
      </x:c>
    </x:row>
    <x:row r="207" ht="28" customHeight="1">
      <x:c r="A207" s="16" t="str">
        <x:v>Кемеровская ТЭЦ</x:v>
      </x:c>
      <x:c r="B207" s="16" t="str">
        <x:v>2000116516-U312</x:v>
      </x:c>
      <x:c r="C207" s="16" t="str">
        <x:v>ПОДШИПНИК 407</x:v>
      </x:c>
      <x:c r="D207" s="16" t="str">
        <x:v>Подшипники</x:v>
      </x:c>
      <x:c r="E207" s="16" t="str">
        <x:v>ШТ</x:v>
      </x:c>
      <x:c r="F207" s="21" t="n">
        <x:v>4</x:v>
      </x:c>
      <x:c r="G207" s="17" t="n">
        <x:v>215.57399999999998</x:v>
      </x:c>
      <x:c r="H207" s="17" t="n">
        <x:f>G207*F207</x:f>
        <x:v>862.2959999999999</x:v>
      </x:c>
      <x:c r="I207" s="22" t="str">
        <x:f>HYPERLINK("https://etp-aktiv.ru/catalog/materialy/podshipniki/2000116516-U312/","Открыть позицию")</x:f>
        <x:v>Открыть позицию</x:v>
      </x:c>
    </x:row>
    <x:row r="208" ht="28" customHeight="1">
      <x:c r="A208" s="16" t="str">
        <x:v>Кемеровская ТЭЦ</x:v>
      </x:c>
      <x:c r="B208" s="16" t="str">
        <x:v>2000116513-U312</x:v>
      </x:c>
      <x:c r="C208" s="16" t="str">
        <x:v>ПОДШИПНИК 412</x:v>
      </x:c>
      <x:c r="D208" s="16" t="str">
        <x:v>Подшипники</x:v>
      </x:c>
      <x:c r="E208" s="16" t="str">
        <x:v>ШТ</x:v>
      </x:c>
      <x:c r="F208" s="21" t="n">
        <x:v>2</x:v>
      </x:c>
      <x:c r="G208" s="17" t="n">
        <x:v>649.65</x:v>
      </x:c>
      <x:c r="H208" s="17" t="n">
        <x:f>G208*F208</x:f>
        <x:v>1299.3</x:v>
      </x:c>
      <x:c r="I208" s="22" t="str">
        <x:f>HYPERLINK("https://etp-aktiv.ru/catalog/materialy/podshipniki/2000116513-U312/","Открыть позицию")</x:f>
        <x:v>Открыть позицию</x:v>
      </x:c>
    </x:row>
    <x:row r="209" ht="28" customHeight="1">
      <x:c r="A209" s="16" t="str">
        <x:v>Кемеровская ТЭЦ</x:v>
      </x:c>
      <x:c r="B209" s="16" t="str">
        <x:v>2000116590-U312</x:v>
      </x:c>
      <x:c r="C209" s="16" t="str">
        <x:v>ПОДШИПНИК 414</x:v>
      </x:c>
      <x:c r="D209" s="16" t="str">
        <x:v>Подшипники</x:v>
      </x:c>
      <x:c r="E209" s="16" t="str">
        <x:v>ШТ</x:v>
      </x:c>
      <x:c r="F209" s="21" t="n">
        <x:v>1</x:v>
      </x:c>
      <x:c r="G209" s="17" t="n">
        <x:v>1562.82</x:v>
      </x:c>
      <x:c r="H209" s="17" t="n">
        <x:f>G209*F209</x:f>
        <x:v>1562.82</x:v>
      </x:c>
      <x:c r="I209" s="22" t="str">
        <x:f>HYPERLINK("https://etp-aktiv.ru/catalog/materialy/podshipniki/2000116590-U312/","Открыть позицию")</x:f>
        <x:v>Открыть позицию</x:v>
      </x:c>
    </x:row>
    <x:row r="210" ht="28" customHeight="1">
      <x:c r="A210" s="16" t="str">
        <x:v>Кемеровская ТЭЦ</x:v>
      </x:c>
      <x:c r="B210" s="16" t="str">
        <x:v>2000503207-U312</x:v>
      </x:c>
      <x:c r="C210" s="16" t="str">
        <x:v>ПОДШИПНИК 46213</x:v>
      </x:c>
      <x:c r="D210" s="16" t="str">
        <x:v>Подшипники</x:v>
      </x:c>
      <x:c r="E210" s="16" t="str">
        <x:v>ШТ</x:v>
      </x:c>
      <x:c r="F210" s="21" t="n">
        <x:v>3</x:v>
      </x:c>
      <x:c r="G210" s="17" t="n">
        <x:v>252.8938</x:v>
      </x:c>
      <x:c r="H210" s="17" t="n">
        <x:f>G210*F210</x:f>
        <x:v>758.6813999999999</x:v>
      </x:c>
      <x:c r="I210" s="22" t="str">
        <x:f>HYPERLINK("https://etp-aktiv.ru/catalog/materialy/podshipniki/2000503207-U312/","Открыть позицию")</x:f>
        <x:v>Открыть позицию</x:v>
      </x:c>
    </x:row>
    <x:row r="211" ht="28" customHeight="1">
      <x:c r="A211" s="16" t="str">
        <x:v>Кемеровская ТЭЦ</x:v>
      </x:c>
      <x:c r="B211" s="16" t="str">
        <x:v>2000116875-U312</x:v>
      </x:c>
      <x:c r="C211" s="16" t="str">
        <x:v>ПОДШИПНИК 46418</x:v>
      </x:c>
      <x:c r="D211" s="16" t="str">
        <x:v>Подшипники</x:v>
      </x:c>
      <x:c r="E211" s="16" t="str">
        <x:v>ШТ</x:v>
      </x:c>
      <x:c r="F211" s="21" t="n">
        <x:v>2</x:v>
      </x:c>
      <x:c r="G211" s="17" t="n">
        <x:v>7233.6362</x:v>
      </x:c>
      <x:c r="H211" s="17" t="n">
        <x:f>G211*F211</x:f>
        <x:v>14467.2724</x:v>
      </x:c>
      <x:c r="I211" s="22" t="str">
        <x:f>HYPERLINK("https://etp-aktiv.ru/catalog/materialy/podshipniki/2000116875-U312/","Открыть позицию")</x:f>
        <x:v>Открыть позицию</x:v>
      </x:c>
    </x:row>
    <x:row r="212" ht="28" customHeight="1">
      <x:c r="A212" s="16" t="str">
        <x:v>Кемеровская ТЭЦ</x:v>
      </x:c>
      <x:c r="B212" s="16" t="str">
        <x:v>2000116624-U312</x:v>
      </x:c>
      <x:c r="C212" s="16" t="str">
        <x:v>ПОДШИПНИК 53612</x:v>
      </x:c>
      <x:c r="D212" s="16" t="str">
        <x:v>Подшипники</x:v>
      </x:c>
      <x:c r="E212" s="16" t="str">
        <x:v>ШТ</x:v>
      </x:c>
      <x:c r="F212" s="21" t="n">
        <x:v>3</x:v>
      </x:c>
      <x:c r="G212" s="17" t="n">
        <x:v>1503.5646000000002</x:v>
      </x:c>
      <x:c r="H212" s="17" t="n">
        <x:f>G212*F212</x:f>
        <x:v>4510.693800000001</x:v>
      </x:c>
      <x:c r="I212" s="22" t="str">
        <x:f>HYPERLINK("https://etp-aktiv.ru/catalog/materialy/podshipniki/2000116624-U312/","Открыть позицию")</x:f>
        <x:v>Открыть позицию</x:v>
      </x:c>
    </x:row>
    <x:row r="213" ht="28" customHeight="1">
      <x:c r="A213" s="16" t="str">
        <x:v>Кемеровская ТЭЦ</x:v>
      </x:c>
      <x:c r="B213" s="16" t="str">
        <x:v>2000556543-U312</x:v>
      </x:c>
      <x:c r="C213" s="16" t="str">
        <x:v>ПОДШИПНИК 53620</x:v>
      </x:c>
      <x:c r="D213" s="16" t="str">
        <x:v>Подшипники</x:v>
      </x:c>
      <x:c r="E213" s="16" t="str">
        <x:v>ШТ</x:v>
      </x:c>
      <x:c r="F213" s="21" t="n">
        <x:v>1</x:v>
      </x:c>
      <x:c r="G213" s="17" t="n">
        <x:v>1843.6884</x:v>
      </x:c>
      <x:c r="H213" s="17" t="n">
        <x:f>G213*F213</x:f>
        <x:v>1843.6884</x:v>
      </x:c>
      <x:c r="I213" s="22" t="str">
        <x:f>HYPERLINK("https://etp-aktiv.ru/catalog/materialy/podshipniki/2000556543-U312/","Открыть позицию")</x:f>
        <x:v>Открыть позицию</x:v>
      </x:c>
    </x:row>
    <x:row r="214" ht="28" customHeight="1">
      <x:c r="A214" s="16" t="str">
        <x:v>Кемеровская ТЭЦ</x:v>
      </x:c>
      <x:c r="B214" s="16" t="str">
        <x:v>2000200775-U312</x:v>
      </x:c>
      <x:c r="C214" s="16" t="str">
        <x:v>ПОДШИПНИК 6-46314Л</x:v>
      </x:c>
      <x:c r="D214" s="16" t="str">
        <x:v>Подшипники</x:v>
      </x:c>
      <x:c r="E214" s="16" t="str">
        <x:v>ШТ</x:v>
      </x:c>
      <x:c r="F214" s="21" t="n">
        <x:v>1</x:v>
      </x:c>
      <x:c r="G214" s="17" t="n">
        <x:v>814.1914</x:v>
      </x:c>
      <x:c r="H214" s="17" t="n">
        <x:f>G214*F214</x:f>
        <x:v>814.1914</x:v>
      </x:c>
      <x:c r="I214" s="22" t="str">
        <x:f>HYPERLINK("https://etp-aktiv.ru/catalog/materialy/podshipniki/2000200775-U312/","Открыть позицию")</x:f>
        <x:v>Открыть позицию</x:v>
      </x:c>
    </x:row>
    <x:row r="215" ht="28" customHeight="1">
      <x:c r="A215" s="16" t="str">
        <x:v>Кемеровская ТЭЦ</x:v>
      </x:c>
      <x:c r="B215" s="16" t="str">
        <x:v>2000116298-U312</x:v>
      </x:c>
      <x:c r="C215" s="16" t="str">
        <x:v>ПОДШИПНИК 60202</x:v>
      </x:c>
      <x:c r="D215" s="16" t="str">
        <x:v>Подшипники</x:v>
      </x:c>
      <x:c r="E215" s="16" t="str">
        <x:v>ШТ</x:v>
      </x:c>
      <x:c r="F215" s="21" t="n">
        <x:v>2</x:v>
      </x:c>
      <x:c r="G215" s="17" t="n">
        <x:v>18.3</x:v>
      </x:c>
      <x:c r="H215" s="17" t="n">
        <x:f>G215*F215</x:f>
        <x:v>36.6</x:v>
      </x:c>
      <x:c r="I215" s="22" t="str">
        <x:f>HYPERLINK("https://etp-aktiv.ru/catalog/materialy/podshipniki/2000116298-U312/","Открыть позицию")</x:f>
        <x:v>Открыть позицию</x:v>
      </x:c>
    </x:row>
    <x:row r="216" ht="28" customHeight="1">
      <x:c r="A216" s="16" t="str">
        <x:v>Кемеровская ТЭЦ</x:v>
      </x:c>
      <x:c r="B216" s="16" t="str">
        <x:v>2000116346-U312</x:v>
      </x:c>
      <x:c r="C216" s="16" t="str">
        <x:v>ПОДШИПНИК 60306</x:v>
      </x:c>
      <x:c r="D216" s="16" t="str">
        <x:v>Подшипники</x:v>
      </x:c>
      <x:c r="E216" s="16" t="str">
        <x:v>ШТ</x:v>
      </x:c>
      <x:c r="F216" s="21" t="n">
        <x:v>4</x:v>
      </x:c>
      <x:c r="G216" s="17" t="n">
        <x:v>82.2768</x:v>
      </x:c>
      <x:c r="H216" s="17" t="n">
        <x:f>G216*F216</x:f>
        <x:v>329.1072</x:v>
      </x:c>
      <x:c r="I216" s="22" t="str">
        <x:f>HYPERLINK("https://etp-aktiv.ru/catalog/materialy/podshipniki/2000116346-U312/","Открыть позицию")</x:f>
        <x:v>Открыть позицию</x:v>
      </x:c>
    </x:row>
    <x:row r="217" ht="28" customHeight="1">
      <x:c r="A217" s="16" t="str">
        <x:v>Кемеровская ТЭЦ</x:v>
      </x:c>
      <x:c r="B217" s="16" t="str">
        <x:v>2000116432-U312</x:v>
      </x:c>
      <x:c r="C217" s="16" t="str">
        <x:v>ПОДШИПНИК 60310</x:v>
      </x:c>
      <x:c r="D217" s="16" t="str">
        <x:v>Подшипники</x:v>
      </x:c>
      <x:c r="E217" s="16" t="str">
        <x:v>ШТ</x:v>
      </x:c>
      <x:c r="F217" s="21" t="n">
        <x:v>2</x:v>
      </x:c>
      <x:c r="G217" s="17" t="n">
        <x:v>290.0062</x:v>
      </x:c>
      <x:c r="H217" s="17" t="n">
        <x:f>G217*F217</x:f>
        <x:v>580.0124</x:v>
      </x:c>
      <x:c r="I217" s="22" t="str">
        <x:f>HYPERLINK("https://etp-aktiv.ru/catalog/materialy/podshipniki/2000116432-U312/","Открыть позицию")</x:f>
        <x:v>Открыть позицию</x:v>
      </x:c>
    </x:row>
    <x:row r="218" ht="28" customHeight="1">
      <x:c r="A218" s="16" t="str">
        <x:v>Кемеровская ТЭЦ</x:v>
      </x:c>
      <x:c r="B218" s="16" t="str">
        <x:v>2000302493-U312</x:v>
      </x:c>
      <x:c r="C218" s="16" t="str">
        <x:v>ПОДШИПНИК 60319</x:v>
      </x:c>
      <x:c r="D218" s="16" t="str">
        <x:v>Подшипники</x:v>
      </x:c>
      <x:c r="E218" s="16" t="str">
        <x:v>ШТ</x:v>
      </x:c>
      <x:c r="F218" s="21" t="n">
        <x:v>1</x:v>
      </x:c>
      <x:c r="G218" s="17" t="n">
        <x:v>1685.125</x:v>
      </x:c>
      <x:c r="H218" s="17" t="n">
        <x:f>G218*F218</x:f>
        <x:v>1685.125</x:v>
      </x:c>
      <x:c r="I218" s="22" t="str">
        <x:f>HYPERLINK("https://etp-aktiv.ru/catalog/materialy/podshipniki/2000302493-U312/","Открыть позицию")</x:f>
        <x:v>Открыть позицию</x:v>
      </x:c>
    </x:row>
    <x:row r="219" ht="28" customHeight="1">
      <x:c r="A219" s="16" t="str">
        <x:v>Кемеровская ТЭЦ</x:v>
      </x:c>
      <x:c r="B219" s="16" t="str">
        <x:v>2000695258-U312</x:v>
      </x:c>
      <x:c r="C219" s="16" t="str">
        <x:v>ПОДШИПНИК 6202-2Z/C3</x:v>
      </x:c>
      <x:c r="D219" s="16" t="str">
        <x:v>Подшипники</x:v>
      </x:c>
      <x:c r="E219" s="16" t="str">
        <x:v>ШТ</x:v>
      </x:c>
      <x:c r="F219" s="21" t="n">
        <x:v>18</x:v>
      </x:c>
      <x:c r="G219" s="17" t="n">
        <x:v>522.6479999999999</x:v>
      </x:c>
      <x:c r="H219" s="17" t="n">
        <x:f>G219*F219</x:f>
        <x:v>9407.663999999999</x:v>
      </x:c>
      <x:c r="I219" s="22" t="str">
        <x:f>HYPERLINK("https://etp-aktiv.ru/catalog/materialy/podshipniki/2000695258-U312/","Открыть позицию")</x:f>
        <x:v>Открыть позицию</x:v>
      </x:c>
    </x:row>
    <x:row r="220" ht="28" customHeight="1">
      <x:c r="A220" s="16" t="str">
        <x:v>Кемеровская ТЭЦ</x:v>
      </x:c>
      <x:c r="B220" s="16" t="str">
        <x:v>2000072686-U312</x:v>
      </x:c>
      <x:c r="C220" s="16" t="str">
        <x:v>ПОДШИПНИК 6211</x:v>
      </x:c>
      <x:c r="D220" s="16" t="str">
        <x:v>Подшипники</x:v>
      </x:c>
      <x:c r="E220" s="16" t="str">
        <x:v>ШТ</x:v>
      </x:c>
      <x:c r="F220" s="21" t="n">
        <x:v>2</x:v>
      </x:c>
      <x:c r="G220" s="17" t="n">
        <x:v>103.9074</x:v>
      </x:c>
      <x:c r="H220" s="17" t="n">
        <x:f>G220*F220</x:f>
        <x:v>207.8148</x:v>
      </x:c>
      <x:c r="I220" s="22" t="str">
        <x:f>HYPERLINK("https://etp-aktiv.ru/catalog/materialy/podshipniki/2000072686-U312/","Открыть позицию")</x:f>
        <x:v>Открыть позицию</x:v>
      </x:c>
    </x:row>
    <x:row r="221" ht="28" customHeight="1">
      <x:c r="A221" s="16" t="str">
        <x:v>Кемеровская ТЭЦ</x:v>
      </x:c>
      <x:c r="B221" s="16" t="str">
        <x:v>2000143844-U312</x:v>
      </x:c>
      <x:c r="C221" s="16" t="str">
        <x:v>ПОДШИПНИК 6306</x:v>
      </x:c>
      <x:c r="D221" s="16" t="str">
        <x:v>Подшипники</x:v>
      </x:c>
      <x:c r="E221" s="16" t="str">
        <x:v>ШТ</x:v>
      </x:c>
      <x:c r="F221" s="21" t="n">
        <x:v>4</x:v>
      </x:c>
      <x:c r="G221" s="17" t="n">
        <x:v>94.26939999999999</x:v>
      </x:c>
      <x:c r="H221" s="17" t="n">
        <x:f>G221*F221</x:f>
        <x:v>377.07759999999996</x:v>
      </x:c>
      <x:c r="I221" s="22" t="str">
        <x:f>HYPERLINK("https://etp-aktiv.ru/catalog/materialy/podshipniki/2000143844-U312/","Открыть позицию")</x:f>
        <x:v>Открыть позицию</x:v>
      </x:c>
    </x:row>
    <x:row r="222" ht="28" customHeight="1">
      <x:c r="A222" s="16" t="str">
        <x:v>Кемеровская ТЭЦ</x:v>
      </x:c>
      <x:c r="B222" s="16" t="str">
        <x:v>2000012366-U312</x:v>
      </x:c>
      <x:c r="C222" s="16" t="str">
        <x:v>ПОДШИПНИК 6322</x:v>
      </x:c>
      <x:c r="D222" s="16" t="str">
        <x:v>Подшипники</x:v>
      </x:c>
      <x:c r="E222" s="16" t="str">
        <x:v>ШТ</x:v>
      </x:c>
      <x:c r="F222" s="21" t="n">
        <x:v>5</x:v>
      </x:c>
      <x:c r="G222" s="17" t="n">
        <x:v>10779.554</x:v>
      </x:c>
      <x:c r="H222" s="17" t="n">
        <x:f>G222*F222</x:f>
        <x:v>53897.770000000004</x:v>
      </x:c>
      <x:c r="I222" s="22" t="str">
        <x:f>HYPERLINK("https://etp-aktiv.ru/catalog/materialy/podshipniki/2000012366-U312/","Открыть позицию")</x:f>
        <x:v>Открыть позицию</x:v>
      </x:c>
    </x:row>
    <x:row r="223" ht="28" customHeight="1">
      <x:c r="A223" s="16" t="str">
        <x:v>Кемеровская ТЭЦ</x:v>
      </x:c>
      <x:c r="B223" s="16" t="str">
        <x:v>2000003802-U312</x:v>
      </x:c>
      <x:c r="C223" s="16" t="str">
        <x:v>ПОДШИПНИК 7203</x:v>
      </x:c>
      <x:c r="D223" s="16" t="str">
        <x:v>Подшипники</x:v>
      </x:c>
      <x:c r="E223" s="16" t="str">
        <x:v>ШТ</x:v>
      </x:c>
      <x:c r="F223" s="21" t="n">
        <x:v>6</x:v>
      </x:c>
      <x:c r="G223" s="17" t="n">
        <x:v>40.6626</x:v>
      </x:c>
      <x:c r="H223" s="17" t="n">
        <x:f>G223*F223</x:f>
        <x:v>243.9756</x:v>
      </x:c>
      <x:c r="I223" s="22" t="str">
        <x:f>HYPERLINK("https://etp-aktiv.ru/catalog/materialy/podshipniki/2000003802-U312/","Открыть позицию")</x:f>
        <x:v>Открыть позицию</x:v>
      </x:c>
    </x:row>
    <x:row r="224" ht="28" customHeight="1">
      <x:c r="A224" s="16" t="str">
        <x:v>Кемеровская ТЭЦ</x:v>
      </x:c>
      <x:c r="B224" s="16" t="str">
        <x:v>2000116499-U312</x:v>
      </x:c>
      <x:c r="C224" s="16" t="str">
        <x:v>ПОДШИПНИК 7210</x:v>
      </x:c>
      <x:c r="D224" s="16" t="str">
        <x:v>Подшипники</x:v>
      </x:c>
      <x:c r="E224" s="16" t="str">
        <x:v>ШТ</x:v>
      </x:c>
      <x:c r="F224" s="21" t="n">
        <x:v>6</x:v>
      </x:c>
      <x:c r="G224" s="17" t="n">
        <x:v>280.6366</x:v>
      </x:c>
      <x:c r="H224" s="17" t="n">
        <x:f>G224*F224</x:f>
        <x:v>1683.8195999999998</x:v>
      </x:c>
      <x:c r="I224" s="22" t="str">
        <x:f>HYPERLINK("https://etp-aktiv.ru/catalog/materialy/podshipniki/2000116499-U312/","Открыть позицию")</x:f>
        <x:v>Открыть позицию</x:v>
      </x:c>
    </x:row>
    <x:row r="225" ht="28" customHeight="1">
      <x:c r="A225" s="16" t="str">
        <x:v>Кемеровская ТЭЦ</x:v>
      </x:c>
      <x:c r="B225" s="16" t="str">
        <x:v>2000116454-U312</x:v>
      </x:c>
      <x:c r="C225" s="16" t="str">
        <x:v>ПОДШИПНИК 7311</x:v>
      </x:c>
      <x:c r="D225" s="16" t="str">
        <x:v>Подшипники</x:v>
      </x:c>
      <x:c r="E225" s="16" t="str">
        <x:v>ШТ</x:v>
      </x:c>
      <x:c r="F225" s="21" t="n">
        <x:v>2</x:v>
      </x:c>
      <x:c r="G225" s="17" t="n">
        <x:v>520.2934</x:v>
      </x:c>
      <x:c r="H225" s="17" t="n">
        <x:f>G225*F225</x:f>
        <x:v>1040.5868</x:v>
      </x:c>
      <x:c r="I225" s="22" t="str">
        <x:f>HYPERLINK("https://etp-aktiv.ru/catalog/materialy/podshipniki/2000116454-U312/","Открыть позицию")</x:f>
        <x:v>Открыть позицию</x:v>
      </x:c>
    </x:row>
    <x:row r="226" ht="28" customHeight="1">
      <x:c r="A226" s="16" t="str">
        <x:v>Кемеровская ТЭЦ</x:v>
      </x:c>
      <x:c r="B226" s="16" t="str">
        <x:v>2000116527-U312</x:v>
      </x:c>
      <x:c r="C226" s="16" t="str">
        <x:v>ПОДШИПНИК 7315</x:v>
      </x:c>
      <x:c r="D226" s="16" t="str">
        <x:v>Подшипники</x:v>
      </x:c>
      <x:c r="E226" s="16" t="str">
        <x:v>ШТ</x:v>
      </x:c>
      <x:c r="F226" s="21" t="n">
        <x:v>2</x:v>
      </x:c>
      <x:c r="G226" s="17" t="n">
        <x:v>841.0070000000001</x:v>
      </x:c>
      <x:c r="H226" s="17" t="n">
        <x:f>G226*F226</x:f>
        <x:v>1682.0140000000001</x:v>
      </x:c>
      <x:c r="I226" s="22" t="str">
        <x:f>HYPERLINK("https://etp-aktiv.ru/catalog/materialy/podshipniki/2000116527-U312/","Открыть позицию")</x:f>
        <x:v>Открыть позицию</x:v>
      </x:c>
    </x:row>
    <x:row r="227" ht="28" customHeight="1">
      <x:c r="A227" s="16" t="str">
        <x:v>Кемеровская ТЭЦ</x:v>
      </x:c>
      <x:c r="B227" s="16" t="str">
        <x:v>2000116482-U312</x:v>
      </x:c>
      <x:c r="C227" s="16" t="str">
        <x:v>ПОДШИПНИК 7516</x:v>
      </x:c>
      <x:c r="D227" s="16" t="str">
        <x:v>Подшипники</x:v>
      </x:c>
      <x:c r="E227" s="16" t="str">
        <x:v>ШТ</x:v>
      </x:c>
      <x:c r="F227" s="21" t="n">
        <x:v>12</x:v>
      </x:c>
      <x:c r="G227" s="17" t="n">
        <x:v>554.5876</x:v>
      </x:c>
      <x:c r="H227" s="17" t="n">
        <x:f>G227*F227</x:f>
        <x:v>6655.0512</x:v>
      </x:c>
      <x:c r="I227" s="22" t="str">
        <x:f>HYPERLINK("https://etp-aktiv.ru/catalog/materialy/podshipniki/2000116482-U312/","Открыть позицию")</x:f>
        <x:v>Открыть позицию</x:v>
      </x:c>
    </x:row>
    <x:row r="228" ht="28" customHeight="1">
      <x:c r="A228" s="16" t="str">
        <x:v>Кемеровская ТЭЦ</x:v>
      </x:c>
      <x:c r="B228" s="16" t="str">
        <x:v>2000116533-U312</x:v>
      </x:c>
      <x:c r="C228" s="16" t="str">
        <x:v>ПОДШИПНИК 7518</x:v>
      </x:c>
      <x:c r="D228" s="16" t="str">
        <x:v>Подшипники</x:v>
      </x:c>
      <x:c r="E228" s="16" t="str">
        <x:v>ШТ</x:v>
      </x:c>
      <x:c r="F228" s="21" t="n">
        <x:v>4</x:v>
      </x:c>
      <x:c r="G228" s="17" t="n">
        <x:v>950.0018</x:v>
      </x:c>
      <x:c r="H228" s="17" t="n">
        <x:f>G228*F228</x:f>
        <x:v>3800.0072</x:v>
      </x:c>
      <x:c r="I228" s="22" t="str">
        <x:f>HYPERLINK("https://etp-aktiv.ru/catalog/materialy/podshipniki/2000116533-U312/","Открыть позицию")</x:f>
        <x:v>Открыть позицию</x:v>
      </x:c>
    </x:row>
    <x:row r="229" ht="28" customHeight="1">
      <x:c r="A229" s="16" t="str">
        <x:v>Кемеровская ТЭЦ</x:v>
      </x:c>
      <x:c r="B229" s="16" t="str">
        <x:v>2000116659-U312</x:v>
      </x:c>
      <x:c r="C229" s="16" t="str">
        <x:v>ПОДШИПНИК 7526</x:v>
      </x:c>
      <x:c r="D229" s="16" t="str">
        <x:v>Подшипники</x:v>
      </x:c>
      <x:c r="E229" s="16" t="str">
        <x:v>ШТ</x:v>
      </x:c>
      <x:c r="F229" s="21" t="n">
        <x:v>2</x:v>
      </x:c>
      <x:c r="G229" s="17" t="n">
        <x:v>2928</x:v>
      </x:c>
      <x:c r="H229" s="17" t="n">
        <x:f>G229*F229</x:f>
        <x:v>5856</x:v>
      </x:c>
      <x:c r="I229" s="22" t="str">
        <x:f>HYPERLINK("https://etp-aktiv.ru/catalog/materialy/podshipniki/2000116659-U312/","Открыть позицию")</x:f>
        <x:v>Открыть позицию</x:v>
      </x:c>
    </x:row>
    <x:row r="230" ht="28" customHeight="1">
      <x:c r="A230" s="16" t="str">
        <x:v>Кемеровская ТЭЦ</x:v>
      </x:c>
      <x:c r="B230" s="16" t="str">
        <x:v>2000115334-U312</x:v>
      </x:c>
      <x:c r="C230" s="16" t="str">
        <x:v>ПОДШИПНИК 7610</x:v>
      </x:c>
      <x:c r="D230" s="16" t="str">
        <x:v>Подшипники</x:v>
      </x:c>
      <x:c r="E230" s="16" t="str">
        <x:v>ШТ</x:v>
      </x:c>
      <x:c r="F230" s="21" t="n">
        <x:v>5</x:v>
      </x:c>
      <x:c r="G230" s="17" t="n">
        <x:v>455.182</x:v>
      </x:c>
      <x:c r="H230" s="17" t="n">
        <x:f>G230*F230</x:f>
        <x:v>2275.91</x:v>
      </x:c>
      <x:c r="I230" s="22" t="str">
        <x:f>HYPERLINK("https://etp-aktiv.ru/catalog/materialy/podshipniki/2000115334-U312/","Открыть позицию")</x:f>
        <x:v>Открыть позицию</x:v>
      </x:c>
    </x:row>
    <x:row r="231" ht="28" customHeight="1">
      <x:c r="A231" s="16" t="str">
        <x:v>Кемеровская ТЭЦ</x:v>
      </x:c>
      <x:c r="B231" s="16" t="str">
        <x:v>2000116616-U312</x:v>
      </x:c>
      <x:c r="C231" s="16" t="str">
        <x:v>ПОДШИПНИК 7616</x:v>
      </x:c>
      <x:c r="D231" s="16" t="str">
        <x:v>Подшипники</x:v>
      </x:c>
      <x:c r="E231" s="16" t="str">
        <x:v>ШТ</x:v>
      </x:c>
      <x:c r="F231" s="21" t="n">
        <x:v>6</x:v>
      </x:c>
      <x:c r="G231" s="17" t="n">
        <x:v>1463.5608000000002</x:v>
      </x:c>
      <x:c r="H231" s="17" t="n">
        <x:f>G231*F231</x:f>
        <x:v>8781.364800000001</x:v>
      </x:c>
      <x:c r="I231" s="22" t="str">
        <x:f>HYPERLINK("https://etp-aktiv.ru/catalog/materialy/podshipniki/2000116616-U312/","Открыть позицию")</x:f>
        <x:v>Открыть позицию</x:v>
      </x:c>
    </x:row>
    <x:row r="232" ht="28" customHeight="1">
      <x:c r="A232" s="16" t="str">
        <x:v>Кемеровская ТЭЦ</x:v>
      </x:c>
      <x:c r="B232" s="16" t="str">
        <x:v>2000034660-U312</x:v>
      </x:c>
      <x:c r="C232" s="16" t="str">
        <x:v>ПОДШИПНИК 80306</x:v>
      </x:c>
      <x:c r="D232" s="16" t="str">
        <x:v>Подшипники</x:v>
      </x:c>
      <x:c r="E232" s="16" t="str">
        <x:v>ШТ</x:v>
      </x:c>
      <x:c r="F232" s="21" t="n">
        <x:v>4</x:v>
      </x:c>
      <x:c r="G232" s="17" t="n">
        <x:v>99.674</x:v>
      </x:c>
      <x:c r="H232" s="17" t="n">
        <x:f>G232*F232</x:f>
        <x:v>398.696</x:v>
      </x:c>
      <x:c r="I232" s="22" t="str">
        <x:f>HYPERLINK("https://etp-aktiv.ru/catalog/materialy/podshipniki/2000034660-U312/","Открыть позицию")</x:f>
        <x:v>Открыть позицию</x:v>
      </x:c>
    </x:row>
    <x:row r="233" ht="28" customHeight="1">
      <x:c r="A233" s="16" t="str">
        <x:v>Кемеровская ТЭЦ</x:v>
      </x:c>
      <x:c r="B233" s="16" t="str">
        <x:v>2000116392-U312</x:v>
      </x:c>
      <x:c r="C233" s="16" t="str">
        <x:v>ПОДШИПНИК 8206</x:v>
      </x:c>
      <x:c r="D233" s="16" t="str">
        <x:v>Подшипники</x:v>
      </x:c>
      <x:c r="E233" s="16" t="str">
        <x:v>ШТ</x:v>
      </x:c>
      <x:c r="F233" s="21" t="n">
        <x:v>2</x:v>
      </x:c>
      <x:c r="G233" s="17" t="n">
        <x:v>68.503</x:v>
      </x:c>
      <x:c r="H233" s="17" t="n">
        <x:f>G233*F233</x:f>
        <x:v>137.006</x:v>
      </x:c>
      <x:c r="I233" s="22" t="str">
        <x:f>HYPERLINK("https://etp-aktiv.ru/catalog/materialy/podshipniki/2000116392-U312/","Открыть позицию")</x:f>
        <x:v>Открыть позицию</x:v>
      </x:c>
    </x:row>
    <x:row r="234" ht="28" customHeight="1">
      <x:c r="A234" s="16" t="str">
        <x:v>Кемеровская ТЭЦ</x:v>
      </x:c>
      <x:c r="B234" s="16" t="str">
        <x:v>2000116351-U312</x:v>
      </x:c>
      <x:c r="C234" s="16" t="str">
        <x:v>ПОДШИПНИК 8210</x:v>
      </x:c>
      <x:c r="D234" s="16" t="str">
        <x:v>Подшипники</x:v>
      </x:c>
      <x:c r="E234" s="16" t="str">
        <x:v>ШТ</x:v>
      </x:c>
      <x:c r="F234" s="21" t="n">
        <x:v>2</x:v>
      </x:c>
      <x:c r="G234" s="17" t="n">
        <x:v>52.6186</x:v>
      </x:c>
      <x:c r="H234" s="17" t="n">
        <x:f>G234*F234</x:f>
        <x:v>105.2372</x:v>
      </x:c>
      <x:c r="I234" s="22" t="str">
        <x:f>HYPERLINK("https://etp-aktiv.ru/catalog/materialy/podshipniki/2000116351-U312/","Открыть позицию")</x:f>
        <x:v>Открыть позицию</x:v>
      </x:c>
    </x:row>
    <x:row r="235" ht="28" customHeight="1">
      <x:c r="A235" s="16" t="str">
        <x:v>Кемеровская ТЭЦ</x:v>
      </x:c>
      <x:c r="B235" s="16" t="str">
        <x:v>2000561620-U312</x:v>
      </x:c>
      <x:c r="C235" s="16" t="str">
        <x:v>ШПАТЕЛЬ РЕЗИН 80ММ БЕЛЫЙ 1209108</x:v>
      </x:c>
      <x:c r="D235" s="16" t="str">
        <x:v>Инструмент и спецоснастка</x:v>
      </x:c>
      <x:c r="E235" s="16" t="str">
        <x:v>ШТ</x:v>
      </x:c>
      <x:c r="F235" s="21" t="n">
        <x:v>2</x:v>
      </x:c>
      <x:c r="G235" s="17" t="n">
        <x:v>15.9454</x:v>
      </x:c>
      <x:c r="H235" s="17" t="n">
        <x:f>G235*F235</x:f>
        <x:v>31.8908</x:v>
      </x:c>
      <x:c r="I235" s="22" t="str">
        <x:f>HYPERLINK("https://etp-aktiv.ru/catalog/materialy/instrument-i-specosnastka/2000561620-U312/","Открыть позицию")</x:f>
        <x:v>Открыть позицию</x:v>
      </x:c>
    </x:row>
    <x:row r="236" ht="28" customHeight="1">
      <x:c r="A236" s="16" t="str">
        <x:v>Кемеровская ТЭЦ</x:v>
      </x:c>
      <x:c r="B236" s="16" t="str">
        <x:v>2000172939-U312</x:v>
      </x:c>
      <x:c r="C236" s="16" t="str">
        <x:v>ШПАТЕЛЬ ФАСАДНЫЙ ЗУБЧАТЫЙ 15/6ММ</x:v>
      </x:c>
      <x:c r="D236" s="16" t="str">
        <x:v>Инструмент и спецоснастка</x:v>
      </x:c>
      <x:c r="E236" s="16" t="str">
        <x:v>ШТ</x:v>
      </x:c>
      <x:c r="F236" s="21" t="n">
        <x:v>2</x:v>
      </x:c>
      <x:c r="G236" s="17" t="n">
        <x:v>47.5922</x:v>
      </x:c>
      <x:c r="H236" s="17" t="n">
        <x:f>G236*F236</x:f>
        <x:v>95.1844</x:v>
      </x:c>
      <x:c r="I236" s="22" t="str">
        <x:f>HYPERLINK("https://etp-aktiv.ru/catalog/materialy/instrument-i-specosnastka/2000172939-U312/","Открыть позицию")</x:f>
        <x:v>Открыть позицию</x:v>
      </x:c>
    </x:row>
    <x:row r="237" ht="28" customHeight="1">
      <x:c r="A237" s="16" t="str">
        <x:v>Кемеровская теплосетевая компания</x:v>
      </x:c>
      <x:c r="B237" s="16" t="str">
        <x:v>2000570224-U121</x:v>
      </x:c>
      <x:c r="C237" s="16" t="str">
        <x:v>БОЛТ СРЕЗНОЙ М6 СО ШПЛИНТОМ 61/66/16</x:v>
      </x:c>
      <x:c r="D237" s="16" t="str">
        <x:v>Инструмент и спецоснастка специализированные, нестандартные</x:v>
      </x:c>
      <x:c r="E237" s="16" t="str">
        <x:v>ШТ</x:v>
      </x:c>
      <x:c r="F237" s="21" t="n">
        <x:v>6</x:v>
      </x:c>
      <x:c r="G237" s="17" t="n">
        <x:v>170.1534</x:v>
      </x:c>
      <x:c r="H237" s="17" t="n">
        <x:f>G237*F237</x:f>
        <x:v>1020.9204</x:v>
      </x:c>
      <x:c r="I237" s="22" t="str">
        <x:f>HYPERLINK("https://etp-aktiv.ru/catalog/materialy/instrument-i-specosnastka/2000570224-U121/","Открыть позицию")</x:f>
        <x:v>Открыть позицию</x:v>
      </x:c>
    </x:row>
    <x:row r="238" ht="28" customHeight="1">
      <x:c r="A238" s="16" t="str">
        <x:v>Кемеровская теплосетевая компания</x:v>
      </x:c>
      <x:c r="B238" s="16" t="str">
        <x:v>2000563785-U121</x:v>
      </x:c>
      <x:c r="C238" s="16" t="str">
        <x:v>ВИЛЫ ЧЕРЕНОК 180*220*1300ММ GRINDA 39722</x:v>
      </x:c>
      <x:c r="D238" s="16" t="str">
        <x:v>Инструмент и спецоснастка</x:v>
      </x:c>
      <x:c r="E238" s="16" t="str">
        <x:v>ШТ</x:v>
      </x:c>
      <x:c r="F238" s="21" t="n">
        <x:v>5</x:v>
      </x:c>
      <x:c r="G238" s="17" t="n">
        <x:v>477.12979999999993</x:v>
      </x:c>
      <x:c r="H238" s="17" t="n">
        <x:f>G238*F238</x:f>
        <x:v>2385.6489999999994</x:v>
      </x:c>
      <x:c r="I238" s="22" t="str">
        <x:f>HYPERLINK("https://etp-aktiv.ru/catalog/materialy/instrument-i-specosnastka/2000563785-U121/","Открыть позицию")</x:f>
        <x:v>Открыть позицию</x:v>
      </x:c>
    </x:row>
    <x:row r="239" ht="28" customHeight="1">
      <x:c r="A239" s="16" t="str">
        <x:v>Кемеровская теплосетевая компания</x:v>
      </x:c>
      <x:c r="B239" s="16" t="str">
        <x:v>2000918035-U121</x:v>
      </x:c>
      <x:c r="C239" s="16" t="str">
        <x:v>КЛЮЧ ВЕНТИЛЬНЫЙ GARWIN PRO 604310-65*550</x:v>
      </x:c>
      <x:c r="D239" s="16" t="str">
        <x:v>Инструмент и спецоснастка</x:v>
      </x:c>
      <x:c r="E239" s="16" t="str">
        <x:v>ШТ</x:v>
      </x:c>
      <x:c r="F239" s="21" t="n">
        <x:v>1</x:v>
      </x:c>
      <x:c r="G239" s="17" t="n">
        <x:v>2104.5</x:v>
      </x:c>
      <x:c r="H239" s="17" t="n">
        <x:f>G239*F239</x:f>
        <x:v>2104.5</x:v>
      </x:c>
      <x:c r="I239" s="22" t="str">
        <x:f>HYPERLINK("https://etp-aktiv.ru/catalog/materialy/instrument-i-specosnastka/2000918035-U121/","Открыть позицию")</x:f>
        <x:v>Открыть позицию</x:v>
      </x:c>
    </x:row>
    <x:row r="240" ht="28" customHeight="1">
      <x:c r="A240" s="16" t="str">
        <x:v>Кемеровская теплосетевая компания</x:v>
      </x:c>
      <x:c r="B240" s="16" t="str">
        <x:v>2000795214-U121</x:v>
      </x:c>
      <x:c r="C240" s="16" t="str">
        <x:v>КУСАЧКИ БОКОВЫЕ МИНИ 115ММ TOPEX 32D724</x:v>
      </x:c>
      <x:c r="D240" s="16" t="str">
        <x:v>Инструмент и спецоснастка</x:v>
      </x:c>
      <x:c r="E240" s="16" t="str">
        <x:v>ШТ</x:v>
      </x:c>
      <x:c r="F240" s="21" t="n">
        <x:v>7</x:v>
      </x:c>
      <x:c r="G240" s="17" t="n">
        <x:v>438.4436</x:v>
      </x:c>
      <x:c r="H240" s="17" t="n">
        <x:f>G240*F240</x:f>
        <x:v>3069.1052</x:v>
      </x:c>
      <x:c r="I240" s="22" t="str">
        <x:f>HYPERLINK("https://etp-aktiv.ru/catalog/materialy/instrument-i-specosnastka/2000795214-U121/","Открыть позицию")</x:f>
        <x:v>Открыть позицию</x:v>
      </x:c>
    </x:row>
    <x:row r="241" ht="28" customHeight="1">
      <x:c r="A241" s="16" t="str">
        <x:v>Кемеровская теплосетевая компания</x:v>
      </x:c>
      <x:c r="B241" s="16" t="str">
        <x:v>2000128084-U121</x:v>
      </x:c>
      <x:c r="C241" s="16" t="str">
        <x:v>НАСОС ВОДЯНОЙ 511-1307004</x:v>
      </x:c>
      <x:c r="D241" s="16" t="str">
        <x:v>Запасные части к автотранспортному оборудованию</x:v>
      </x:c>
      <x:c r="E241" s="16" t="str">
        <x:v>ШТ</x:v>
      </x:c>
      <x:c r="F241" s="21" t="n">
        <x:v>1</x:v>
      </x:c>
      <x:c r="G241" s="17" t="n">
        <x:v>2350.0006</x:v>
      </x:c>
      <x:c r="H241" s="17" t="n">
        <x:f>G241*F241</x:f>
        <x:v>2350.0006</x:v>
      </x:c>
      <x:c r="I241" s="22" t="str">
        <x:f>HYPERLINK("https://etp-aktiv.ru/catalog/materialy/zapasnye-chasti-k-avtotransportnomu-oborudovaniyu/2000128084-U121/","Открыть позицию")</x:f>
        <x:v>Открыть позицию</x:v>
      </x:c>
    </x:row>
    <x:row r="242" ht="28" customHeight="1">
      <x:c r="A242" s="16" t="str">
        <x:v>Кемеровская теплосетевая компания</x:v>
      </x:c>
      <x:c r="B242" s="16" t="str">
        <x:v>2000529350-U121</x:v>
      </x:c>
      <x:c r="C242" s="16" t="str">
        <x:v>НАСОС ВОДЯНОЙ 513-1307010</x:v>
      </x:c>
      <x:c r="D242" s="16" t="str">
        <x:v>Запасные части к автотранспортному оборудованию</x:v>
      </x:c>
      <x:c r="E242" s="16" t="str">
        <x:v>ШТ</x:v>
      </x:c>
      <x:c r="F242" s="21" t="n">
        <x:v>2</x:v>
      </x:c>
      <x:c r="G242" s="17" t="n">
        <x:v>2350.0006</x:v>
      </x:c>
      <x:c r="H242" s="17" t="n">
        <x:f>G242*F242</x:f>
        <x:v>4700.0012</x:v>
      </x:c>
      <x:c r="I242" s="22" t="str">
        <x:f>HYPERLINK("https://etp-aktiv.ru/catalog/materialy/zapasnye-chasti-k-avtotransportnomu-oborudovaniyu/2000529350-U121/","Открыть позицию")</x:f>
        <x:v>Открыть позицию</x:v>
      </x:c>
    </x:row>
    <x:row r="243" ht="28" customHeight="1">
      <x:c r="A243" s="16" t="str">
        <x:v>Кемеровская теплосетевая компания</x:v>
      </x:c>
      <x:c r="B243" s="16" t="str">
        <x:v>2000009848-U121</x:v>
      </x:c>
      <x:c r="C243" s="16" t="str">
        <x:v>НАСОС ГИДРОУСИЛИТЕЛЯ 53212-3407200</x:v>
      </x:c>
      <x:c r="D243" s="16" t="str">
        <x:v>Запасные части к автотранспортному оборудованию</x:v>
      </x:c>
      <x:c r="E243" s="16" t="str">
        <x:v>ШТ</x:v>
      </x:c>
      <x:c r="F243" s="21" t="n">
        <x:v>1</x:v>
      </x:c>
      <x:c r="G243" s="17" t="n">
        <x:v>4625.325</x:v>
      </x:c>
      <x:c r="H243" s="17" t="n">
        <x:f>G243*F243</x:f>
        <x:v>4625.325</x:v>
      </x:c>
      <x:c r="I243" s="22" t="str">
        <x:f>HYPERLINK("https://etp-aktiv.ru/catalog/materialy/zapasnye-chasti-k-avtotransportnomu-oborudovaniyu/2000009848-U121/","Открыть позицию")</x:f>
        <x:v>Открыть позицию</x:v>
      </x:c>
    </x:row>
    <x:row r="244" ht="28" customHeight="1">
      <x:c r="A244" s="16" t="str">
        <x:v>Кемеровская теплосетевая компания</x:v>
      </x:c>
      <x:c r="B244" s="16" t="str">
        <x:v>2000578362-U121</x:v>
      </x:c>
      <x:c r="C244" s="16" t="str">
        <x:v>ПОДСТАВКА ПОЛИМЕРНАЯ ПОД ВЕХУ 9.058</x:v>
      </x:c>
      <x:c r="D244" s="16" t="str">
        <x:v>Инструмент и спецоснастка</x:v>
      </x:c>
      <x:c r="E244" s="16" t="str">
        <x:v>ШТ</x:v>
      </x:c>
      <x:c r="F244" s="21" t="n">
        <x:v>75</x:v>
      </x:c>
      <x:c r="G244" s="17" t="n">
        <x:v>362.13259999999997</x:v>
      </x:c>
      <x:c r="H244" s="17" t="n">
        <x:f>G244*F244</x:f>
        <x:v>27159.944999999996</x:v>
      </x:c>
      <x:c r="I244" s="22" t="str">
        <x:f>HYPERLINK("https://etp-aktiv.ru/catalog/materialy/instrument-i-specosnastka/2000578362-U121/","Открыть позицию")</x:f>
        <x:v>Открыть позицию</x:v>
      </x:c>
    </x:row>
    <x:row r="245" ht="28" customHeight="1">
      <x:c r="A245" s="16" t="str">
        <x:v>Кемеровская теплосетевая компания</x:v>
      </x:c>
      <x:c r="B245" s="16" t="str">
        <x:v>2000116319-U121</x:v>
      </x:c>
      <x:c r="C245" s="16" t="str">
        <x:v>ПОДШИПНИК 180204</x:v>
      </x:c>
      <x:c r="D245" s="16" t="str">
        <x:v>Подшипники</x:v>
      </x:c>
      <x:c r="E245" s="16" t="str">
        <x:v>ШТ</x:v>
      </x:c>
      <x:c r="F245" s="21" t="n">
        <x:v>2</x:v>
      </x:c>
      <x:c r="G245" s="17" t="n">
        <x:v>40.7968</x:v>
      </x:c>
      <x:c r="H245" s="17" t="n">
        <x:f>G245*F245</x:f>
        <x:v>81.5936</x:v>
      </x:c>
      <x:c r="I245" s="22" t="str">
        <x:f>HYPERLINK("https://etp-aktiv.ru/catalog/materialy/podshipniki/2000116319-U121/","Открыть позицию")</x:f>
        <x:v>Открыть позицию</x:v>
      </x:c>
    </x:row>
    <x:row r="246" ht="28" customHeight="1">
      <x:c r="A246" s="16" t="str">
        <x:v>Кемеровская теплосетевая компания</x:v>
      </x:c>
      <x:c r="B246" s="16" t="str">
        <x:v>2000115322-U121</x:v>
      </x:c>
      <x:c r="C246" s="16" t="str">
        <x:v>ПОДШИПНИК 180206</x:v>
      </x:c>
      <x:c r="D246" s="16" t="str">
        <x:v>Подшипники</x:v>
      </x:c>
      <x:c r="E246" s="16" t="str">
        <x:v>ШТ</x:v>
      </x:c>
      <x:c r="F246" s="21" t="n">
        <x:v>1</x:v>
      </x:c>
      <x:c r="G246" s="17" t="n">
        <x:v>50.215199999999996</x:v>
      </x:c>
      <x:c r="H246" s="17" t="n">
        <x:f>G246*F246</x:f>
        <x:v>50.215199999999996</x:v>
      </x:c>
      <x:c r="I246" s="22" t="str">
        <x:f>HYPERLINK("https://etp-aktiv.ru/catalog/materialy/podshipniki/2000115322-U121/","Открыть позицию")</x:f>
        <x:v>Открыть позицию</x:v>
      </x:c>
    </x:row>
    <x:row r="247" ht="28" customHeight="1">
      <x:c r="A247" s="16" t="str">
        <x:v>Кемеровская теплосетевая компания</x:v>
      </x:c>
      <x:c r="B247" s="16" t="str">
        <x:v>2000116342-U121</x:v>
      </x:c>
      <x:c r="C247" s="16" t="str">
        <x:v>ПОДШИПНИК 180207</x:v>
      </x:c>
      <x:c r="D247" s="16" t="str">
        <x:v>Подшипники</x:v>
      </x:c>
      <x:c r="E247" s="16" t="str">
        <x:v>ШТ</x:v>
      </x:c>
      <x:c r="F247" s="21" t="n">
        <x:v>1</x:v>
      </x:c>
      <x:c r="G247" s="17" t="n">
        <x:v>80.9836</x:v>
      </x:c>
      <x:c r="H247" s="17" t="n">
        <x:f>G247*F247</x:f>
        <x:v>80.9836</x:v>
      </x:c>
      <x:c r="I247" s="22" t="str">
        <x:f>HYPERLINK("https://etp-aktiv.ru/catalog/materialy/podshipniki/2000116342-U121/","Открыть позицию")</x:f>
        <x:v>Открыть позицию</x:v>
      </x:c>
    </x:row>
    <x:row r="248" ht="28" customHeight="1">
      <x:c r="A248" s="16" t="str">
        <x:v>Кемеровская теплосетевая компания</x:v>
      </x:c>
      <x:c r="B248" s="16" t="str">
        <x:v>2000116364-U121</x:v>
      </x:c>
      <x:c r="C248" s="16" t="str">
        <x:v>ПОДШИПНИК 180208</x:v>
      </x:c>
      <x:c r="D248" s="16" t="str">
        <x:v>Подшипники</x:v>
      </x:c>
      <x:c r="E248" s="16" t="str">
        <x:v>ШТ</x:v>
      </x:c>
      <x:c r="F248" s="21" t="n">
        <x:v>4</x:v>
      </x:c>
      <x:c r="G248" s="17" t="n">
        <x:v>105.225</x:v>
      </x:c>
      <x:c r="H248" s="17" t="n">
        <x:f>G248*F248</x:f>
        <x:v>420.9</x:v>
      </x:c>
      <x:c r="I248" s="22" t="str">
        <x:f>HYPERLINK("https://etp-aktiv.ru/catalog/materialy/podshipniki/2000116364-U121/","Открыть позицию")</x:f>
        <x:v>Открыть позицию</x:v>
      </x:c>
    </x:row>
    <x:row r="249" ht="28" customHeight="1">
      <x:c r="A249" s="16" t="str">
        <x:v>Кемеровская теплосетевая компания</x:v>
      </x:c>
      <x:c r="B249" s="16" t="str">
        <x:v>2000116370-U121</x:v>
      </x:c>
      <x:c r="C249" s="16" t="str">
        <x:v>ПОДШИПНИК 180209</x:v>
      </x:c>
      <x:c r="D249" s="16" t="str">
        <x:v>Подшипники</x:v>
      </x:c>
      <x:c r="E249" s="16" t="str">
        <x:v>ШТ</x:v>
      </x:c>
      <x:c r="F249" s="21" t="n">
        <x:v>1</x:v>
      </x:c>
      <x:c r="G249" s="17" t="n">
        <x:v>162.931</x:v>
      </x:c>
      <x:c r="H249" s="17" t="n">
        <x:f>G249*F249</x:f>
        <x:v>162.931</x:v>
      </x:c>
      <x:c r="I249" s="22" t="str">
        <x:f>HYPERLINK("https://etp-aktiv.ru/catalog/materialy/podshipniki/2000116370-U121/","Открыть позицию")</x:f>
        <x:v>Открыть позицию</x:v>
      </x:c>
    </x:row>
    <x:row r="250" ht="28" customHeight="1">
      <x:c r="A250" s="16" t="str">
        <x:v>Кемеровская теплосетевая компания</x:v>
      </x:c>
      <x:c r="B250" s="16" t="str">
        <x:v>2000116585-U121</x:v>
      </x:c>
      <x:c r="C250" s="16" t="str">
        <x:v>ПОДШИПНИК 2317</x:v>
      </x:c>
      <x:c r="D250" s="16" t="str">
        <x:v>Подшипники</x:v>
      </x:c>
      <x:c r="E250" s="16" t="str">
        <x:v>ШТ</x:v>
      </x:c>
      <x:c r="F250" s="21" t="n">
        <x:v>3</x:v>
      </x:c>
      <x:c r="G250" s="17" t="n">
        <x:v>1606.923</x:v>
      </x:c>
      <x:c r="H250" s="17" t="n">
        <x:f>G250*F250</x:f>
        <x:v>4820.769</x:v>
      </x:c>
      <x:c r="I250" s="22" t="str">
        <x:f>HYPERLINK("https://etp-aktiv.ru/catalog/materialy/podshipniki/2000116585-U121/","Открыть позицию")</x:f>
        <x:v>Открыть позицию</x:v>
      </x:c>
    </x:row>
    <x:row r="251" ht="28" customHeight="1">
      <x:c r="A251" s="16" t="str">
        <x:v>Кемеровская теплосетевая компания</x:v>
      </x:c>
      <x:c r="B251" s="16" t="str">
        <x:v>2000127195-U121</x:v>
      </x:c>
      <x:c r="C251" s="16" t="str">
        <x:v>ПОДШИПНИК 3086313</x:v>
      </x:c>
      <x:c r="D251" s="16" t="str">
        <x:v>Подшипники</x:v>
      </x:c>
      <x:c r="E251" s="16" t="str">
        <x:v>ШТ</x:v>
      </x:c>
      <x:c r="F251" s="21" t="n">
        <x:v>1</x:v>
      </x:c>
      <x:c r="G251" s="17" t="n">
        <x:v>2141.7954</x:v>
      </x:c>
      <x:c r="H251" s="17" t="n">
        <x:f>G251*F251</x:f>
        <x:v>2141.7954</x:v>
      </x:c>
      <x:c r="I251" s="22" t="str">
        <x:f>HYPERLINK("https://etp-aktiv.ru/catalog/materialy/podshipniki/2000127195-U121/","Открыть позицию")</x:f>
        <x:v>Открыть позицию</x:v>
      </x:c>
    </x:row>
    <x:row r="252" ht="28" customHeight="1">
      <x:c r="A252" s="16" t="str">
        <x:v>Кемеровская теплосетевая компания</x:v>
      </x:c>
      <x:c r="B252" s="16" t="str">
        <x:v>2000116461-U121</x:v>
      </x:c>
      <x:c r="C252" s="16" t="str">
        <x:v>ПОДШИПНИК 312</x:v>
      </x:c>
      <x:c r="D252" s="16" t="str">
        <x:v>Подшипники</x:v>
      </x:c>
      <x:c r="E252" s="16" t="str">
        <x:v>ШТ</x:v>
      </x:c>
      <x:c r="F252" s="21" t="n">
        <x:v>3</x:v>
      </x:c>
      <x:c r="G252" s="17" t="n">
        <x:v>408.3218</x:v>
      </x:c>
      <x:c r="H252" s="17" t="n">
        <x:f>G252*F252</x:f>
        <x:v>1224.9654</x:v>
      </x:c>
      <x:c r="I252" s="22" t="str">
        <x:f>HYPERLINK("https://etp-aktiv.ru/catalog/materialy/podshipniki/2000116461-U121/","Открыть позицию")</x:f>
        <x:v>Открыть позицию</x:v>
      </x:c>
    </x:row>
    <x:row r="253" ht="28" customHeight="1">
      <x:c r="A253" s="16" t="str">
        <x:v>Кемеровская теплосетевая компания</x:v>
      </x:c>
      <x:c r="B253" s="16" t="str">
        <x:v>2000072800-U121</x:v>
      </x:c>
      <x:c r="C253" s="16" t="str">
        <x:v>ПОДШИПНИК 42217</x:v>
      </x:c>
      <x:c r="D253" s="16" t="str">
        <x:v>Подшипники</x:v>
      </x:c>
      <x:c r="E253" s="16" t="str">
        <x:v>ШТ</x:v>
      </x:c>
      <x:c r="F253" s="21" t="n">
        <x:v>4</x:v>
      </x:c>
      <x:c r="G253" s="17" t="n">
        <x:v>1332.0813999999998</x:v>
      </x:c>
      <x:c r="H253" s="17" t="n">
        <x:f>G253*F253</x:f>
        <x:v>5328.325599999999</x:v>
      </x:c>
      <x:c r="I253" s="22" t="str">
        <x:f>HYPERLINK("https://etp-aktiv.ru/catalog/materialy/podshipniki/2000072800-U121/","Открыть позицию")</x:f>
        <x:v>Открыть позицию</x:v>
      </x:c>
    </x:row>
    <x:row r="254" ht="28" customHeight="1">
      <x:c r="A254" s="16" t="str">
        <x:v>Кемеровская теплосетевая компания</x:v>
      </x:c>
      <x:c r="B254" s="16" t="str">
        <x:v>2000787008-U121</x:v>
      </x:c>
      <x:c r="C254" s="16" t="str">
        <x:v>ПОДШИПНИК 6202-2RS/C3</x:v>
      </x:c>
      <x:c r="D254" s="16" t="str">
        <x:v>Подшипники</x:v>
      </x:c>
      <x:c r="E254" s="16" t="str">
        <x:v>ШТ</x:v>
      </x:c>
      <x:c r="F254" s="21" t="n">
        <x:v>3</x:v>
      </x:c>
      <x:c r="G254" s="17" t="n">
        <x:v>1189.5</x:v>
      </x:c>
      <x:c r="H254" s="17" t="n">
        <x:f>G254*F254</x:f>
        <x:v>3568.5</x:v>
      </x:c>
      <x:c r="I254" s="22" t="str">
        <x:f>HYPERLINK("https://etp-aktiv.ru/catalog/materialy/podshipniki/2000787008-U121/","Открыть позицию")</x:f>
        <x:v>Открыть позицию</x:v>
      </x:c>
    </x:row>
    <x:row r="255" ht="28" customHeight="1">
      <x:c r="A255" s="16" t="str">
        <x:v>Кемеровская теплосетевая компания</x:v>
      </x:c>
      <x:c r="B255" s="16" t="str">
        <x:v>2000034567-U121</x:v>
      </x:c>
      <x:c r="C255" s="16" t="str">
        <x:v>ПОДШИПНИК 6203</x:v>
      </x:c>
      <x:c r="D255" s="16" t="str">
        <x:v>Подшипники</x:v>
      </x:c>
      <x:c r="E255" s="16" t="str">
        <x:v>ШТ</x:v>
      </x:c>
      <x:c r="F255" s="21" t="n">
        <x:v>2</x:v>
      </x:c>
      <x:c r="G255" s="17" t="n">
        <x:v>30.195</x:v>
      </x:c>
      <x:c r="H255" s="17" t="n">
        <x:f>G255*F255</x:f>
        <x:v>60.39</x:v>
      </x:c>
      <x:c r="I255" s="22" t="str">
        <x:f>HYPERLINK("https://etp-aktiv.ru/catalog/materialy/podshipniki/2000034567-U121/","Открыть позицию")</x:f>
        <x:v>Открыть позицию</x:v>
      </x:c>
    </x:row>
    <x:row r="256" ht="28" customHeight="1">
      <x:c r="A256" s="16" t="str">
        <x:v>Кемеровская теплосетевая компания</x:v>
      </x:c>
      <x:c r="B256" s="16" t="str">
        <x:v>2000167523-U121</x:v>
      </x:c>
      <x:c r="C256" s="16" t="str">
        <x:v>ПОДШИПНИК 6205-2RSH</x:v>
      </x:c>
      <x:c r="D256" s="16" t="str">
        <x:v>Подшипники</x:v>
      </x:c>
      <x:c r="E256" s="16" t="str">
        <x:v>ШТ</x:v>
      </x:c>
      <x:c r="F256" s="21" t="n">
        <x:v>9</x:v>
      </x:c>
      <x:c r="G256" s="17" t="n">
        <x:v>98.3198</x:v>
      </x:c>
      <x:c r="H256" s="17" t="n">
        <x:f>G256*F256</x:f>
        <x:v>884.8782</x:v>
      </x:c>
      <x:c r="I256" s="22" t="str">
        <x:f>HYPERLINK("https://etp-aktiv.ru/catalog/materialy/podshipniki/2000167523-U121/","Открыть позицию")</x:f>
        <x:v>Открыть позицию</x:v>
      </x:c>
    </x:row>
    <x:row r="257" ht="28" customHeight="1">
      <x:c r="A257" s="16" t="str">
        <x:v>Кемеровская теплосетевая компания</x:v>
      </x:c>
      <x:c r="B257" s="16" t="str">
        <x:v>2000870841-U121</x:v>
      </x:c>
      <x:c r="C257" s="16" t="str">
        <x:v>ПОДШИПНИК 6206 2RSC3</x:v>
      </x:c>
      <x:c r="D257" s="16" t="str">
        <x:v>Подшипники</x:v>
      </x:c>
      <x:c r="E257" s="16" t="str">
        <x:v>ШТ</x:v>
      </x:c>
      <x:c r="F257" s="21" t="n">
        <x:v>1</x:v>
      </x:c>
      <x:c r="G257" s="17" t="n">
        <x:v>266.57</x:v>
      </x:c>
      <x:c r="H257" s="17" t="n">
        <x:f>G257*F257</x:f>
        <x:v>266.57</x:v>
      </x:c>
      <x:c r="I257" s="22" t="str">
        <x:f>HYPERLINK("https://etp-aktiv.ru/catalog/materialy/podshipniki/2000870841-U121/","Открыть позицию")</x:f>
        <x:v>Открыть позицию</x:v>
      </x:c>
    </x:row>
    <x:row r="258" ht="28" customHeight="1">
      <x:c r="A258" s="16" t="str">
        <x:v>Кемеровская теплосетевая компания</x:v>
      </x:c>
      <x:c r="B258" s="16" t="str">
        <x:v>2000128887-U121</x:v>
      </x:c>
      <x:c r="C258" s="16" t="str">
        <x:v>ПОДШИПНИК 6319</x:v>
      </x:c>
      <x:c r="D258" s="16" t="str">
        <x:v>Подшипники</x:v>
      </x:c>
      <x:c r="E258" s="16" t="str">
        <x:v>ШТ</x:v>
      </x:c>
      <x:c r="F258" s="21" t="n">
        <x:v>1</x:v>
      </x:c>
      <x:c r="G258" s="17" t="n">
        <x:v>1535.3212</x:v>
      </x:c>
      <x:c r="H258" s="17" t="n">
        <x:f>G258*F258</x:f>
        <x:v>1535.3212</x:v>
      </x:c>
      <x:c r="I258" s="22" t="str">
        <x:f>HYPERLINK("https://etp-aktiv.ru/catalog/materialy/podshipniki/2000128887-U121/","Открыть позицию")</x:f>
        <x:v>Открыть позицию</x:v>
      </x:c>
    </x:row>
    <x:row r="259" ht="28" customHeight="1">
      <x:c r="A259" s="16" t="str">
        <x:v>Кемеровская теплосетевая компания</x:v>
      </x:c>
      <x:c r="B259" s="16" t="str">
        <x:v>2000116532-U121</x:v>
      </x:c>
      <x:c r="C259" s="16" t="str">
        <x:v>ПОДШИПНИК 7215</x:v>
      </x:c>
      <x:c r="D259" s="16" t="str">
        <x:v>Подшипники</x:v>
      </x:c>
      <x:c r="E259" s="16" t="str">
        <x:v>ШТ</x:v>
      </x:c>
      <x:c r="F259" s="21" t="n">
        <x:v>1</x:v>
      </x:c>
      <x:c r="G259" s="17" t="n">
        <x:v>538.02</x:v>
      </x:c>
      <x:c r="H259" s="17" t="n">
        <x:f>G259*F259</x:f>
        <x:v>538.02</x:v>
      </x:c>
      <x:c r="I259" s="22" t="str">
        <x:f>HYPERLINK("https://etp-aktiv.ru/catalog/materialy/podshipniki/2000116532-U121/","Открыть позицию")</x:f>
        <x:v>Открыть позицию</x:v>
      </x:c>
    </x:row>
    <x:row r="260" ht="28" customHeight="1">
      <x:c r="A260" s="16" t="str">
        <x:v>Кемеровская теплосетевая компания</x:v>
      </x:c>
      <x:c r="B260" s="16" t="str">
        <x:v>2000182611-U121</x:v>
      </x:c>
      <x:c r="C260" s="16" t="str">
        <x:v>ПОДШИПНИК 7515A</x:v>
      </x:c>
      <x:c r="D260" s="16" t="str">
        <x:v>Подшипники</x:v>
      </x:c>
      <x:c r="E260" s="16" t="str">
        <x:v>ШТ</x:v>
      </x:c>
      <x:c r="F260" s="21" t="n">
        <x:v>1</x:v>
      </x:c>
      <x:c r="G260" s="17" t="n">
        <x:v>438.28499999999997</x:v>
      </x:c>
      <x:c r="H260" s="17" t="n">
        <x:f>G260*F260</x:f>
        <x:v>438.28499999999997</x:v>
      </x:c>
      <x:c r="I260" s="22" t="str">
        <x:f>HYPERLINK("https://etp-aktiv.ru/catalog/materialy/podshipniki/2000182611-U121/","Открыть позицию")</x:f>
        <x:v>Открыть позицию</x:v>
      </x:c>
    </x:row>
    <x:row r="261" ht="28" customHeight="1">
      <x:c r="A261" s="16" t="str">
        <x:v>Кемеровская теплосетевая компания</x:v>
      </x:c>
      <x:c r="B261" s="16" t="str">
        <x:v>2000579985-U121</x:v>
      </x:c>
      <x:c r="C261" s="16" t="str">
        <x:v>РЕМЕНЬ СТЯЖНОЙ КОЛЬЦЕВОЙ 1Т 8М 25ММ</x:v>
      </x:c>
      <x:c r="D261" s="16" t="str">
        <x:v>Такелажные изделия</x:v>
      </x:c>
      <x:c r="E261" s="16" t="str">
        <x:v>ШТ</x:v>
      </x:c>
      <x:c r="F261" s="21" t="n">
        <x:v>2</x:v>
      </x:c>
      <x:c r="G261" s="17" t="n">
        <x:v>181.8532</x:v>
      </x:c>
      <x:c r="H261" s="17" t="n">
        <x:f>G261*F261</x:f>
        <x:v>363.7064</x:v>
      </x:c>
      <x:c r="I261" s="22" t="str">
        <x:f>HYPERLINK("https://etp-aktiv.ru/catalog/materialy/zapasnye-chasti-k-gruzopodemnoj-tekhnike-oborudovaniyu-i-mekhanizmam/2000579985-U121/","Открыть позицию")</x:f>
        <x:v>Открыть позицию</x:v>
      </x:c>
    </x:row>
    <x:row r="262" ht="28" customHeight="1">
      <x:c r="A262" s="16" t="str">
        <x:v>Кемеровская теплосетевая компания</x:v>
      </x:c>
      <x:c r="B262" s="16" t="str">
        <x:v>2000549652-U121</x:v>
      </x:c>
      <x:c r="C262" s="16" t="str">
        <x:v>СТРОП 4СК1-6,3-7000</x:v>
      </x:c>
      <x:c r="D262" s="16" t="str">
        <x:v>Такелажные изделия</x:v>
      </x:c>
      <x:c r="E262" s="16" t="str">
        <x:v>ШТ</x:v>
      </x:c>
      <x:c r="F262" s="21" t="n">
        <x:v>2</x:v>
      </x:c>
      <x:c r="G262" s="17" t="n">
        <x:v>10508.0918</x:v>
      </x:c>
      <x:c r="H262" s="17" t="n">
        <x:f>G262*F262</x:f>
        <x:v>21016.1836</x:v>
      </x:c>
      <x:c r="I262" s="22" t="str">
        <x:f>HYPERLINK("https://etp-aktiv.ru/catalog/materialy/zapasnye-chasti-k-gruzopodemnoj-tekhnike-oborudovaniyu-i-mekhanizmam/2000549652-U121/","Открыть позицию")</x:f>
        <x:v>Открыть позицию</x:v>
      </x:c>
    </x:row>
    <x:row r="263" ht="28" customHeight="1">
      <x:c r="A263" s="16" t="str">
        <x:v>Кемеровская теплосетевая компания</x:v>
      </x:c>
      <x:c r="B263" s="16" t="str">
        <x:v>2000831954-U121</x:v>
      </x:c>
      <x:c r="C263" s="16" t="str">
        <x:v>УПЛОТНЕНИЕ SNAR-12MM CAR/CER/EPDM</x:v>
      </x:c>
      <x:c r="D263" s="16" t="str">
        <x:v>Запасные части к энергетическим насосам</x:v>
      </x:c>
      <x:c r="E263" s="16" t="str">
        <x:v>ШТ</x:v>
      </x:c>
      <x:c r="F263" s="21" t="n">
        <x:v>1</x:v>
      </x:c>
      <x:c r="G263" s="17" t="n">
        <x:v>2176.9436</x:v>
      </x:c>
      <x:c r="H263" s="17" t="n">
        <x:f>G263*F263</x:f>
        <x:v>2176.9436</x:v>
      </x:c>
      <x:c r="I263" s="22" t="str">
        <x:f>HYPERLINK("https://etp-aktiv.ru/catalog/materialy/zapasnye-chasti-promyshlennogo-oborudovaniya/2000831954-U121/","Открыть позицию")</x:f>
        <x:v>Открыть позицию</x:v>
      </x:c>
    </x:row>
    <x:row r="264" ht="28" customHeight="1">
      <x:c r="A264" s="16" t="str">
        <x:v>Кемеровская теплосетевая компания</x:v>
      </x:c>
      <x:c r="B264" s="16" t="str">
        <x:v>2000543139-U121</x:v>
      </x:c>
      <x:c r="C264" s="16" t="str">
        <x:v>ЦЕПЬ 3/8" P 55 ЗВЕНЬЕВ PICCO SUPER 3 PS3</x:v>
      </x:c>
      <x:c r="D264" s="16" t="str">
        <x:v>Инструмент и спецоснастка</x:v>
      </x:c>
      <x:c r="E264" s="16" t="str">
        <x:v>ШТ</x:v>
      </x:c>
      <x:c r="F264" s="21" t="n">
        <x:v>15</x:v>
      </x:c>
      <x:c r="G264" s="17" t="n">
        <x:v>386.8864</x:v>
      </x:c>
      <x:c r="H264" s="17" t="n">
        <x:f>G264*F264</x:f>
        <x:v>5803.295999999999</x:v>
      </x:c>
      <x:c r="I264" s="22" t="str">
        <x:f>HYPERLINK("https://etp-aktiv.ru/catalog/materialy/instrument-i-specosnastka/2000543139-U121/","Открыть позицию")</x:f>
        <x:v>Открыть позицию</x:v>
      </x:c>
    </x:row>
    <x:row r="265" ht="28" customHeight="1">
      <x:c r="A265" s="16" t="str">
        <x:v>Кемеровская теплосетевая компания</x:v>
      </x:c>
      <x:c r="B265" s="16" t="str">
        <x:v>2000527709-U121</x:v>
      </x:c>
      <x:c r="C265" s="16" t="str">
        <x:v>ЦЕПЬ 3/8"-1,3ММ-50 CHAMPION A050-L-50E</x:v>
      </x:c>
      <x:c r="D265" s="16" t="str">
        <x:v>Инструмент и спецоснастка</x:v>
      </x:c>
      <x:c r="E265" s="16" t="str">
        <x:v>ШТ</x:v>
      </x:c>
      <x:c r="F265" s="21" t="n">
        <x:v>4</x:v>
      </x:c>
      <x:c r="G265" s="17" t="n">
        <x:v>394.9994</x:v>
      </x:c>
      <x:c r="H265" s="17" t="n">
        <x:f>G265*F265</x:f>
        <x:v>1579.9976</x:v>
      </x:c>
      <x:c r="I265" s="22" t="str">
        <x:f>HYPERLINK("https://etp-aktiv.ru/catalog/materialy/instrument-i-specosnastka/2000527709-U121/","Открыть позицию")</x:f>
        <x:v>Открыть позицию</x:v>
      </x:c>
    </x:row>
    <x:row r="266" ht="28" customHeight="1">
      <x:c r="A266" s="16" t="str">
        <x:v>Кемеровская теплосетевая компания</x:v>
      </x:c>
      <x:c r="B266" s="16" t="str">
        <x:v>2000293674-U121</x:v>
      </x:c>
      <x:c r="C266" s="16" t="str">
        <x:v>ЦЕПЬ 3/8-1,3-63 РМ</x:v>
      </x:c>
      <x:c r="D266" s="16" t="str">
        <x:v>Инструмент и спецоснастка</x:v>
      </x:c>
      <x:c r="E266" s="16" t="str">
        <x:v>ШТ</x:v>
      </x:c>
      <x:c r="F266" s="21" t="n">
        <x:v>5</x:v>
      </x:c>
      <x:c r="G266" s="17" t="n">
        <x:v>619.2597999999999</x:v>
      </x:c>
      <x:c r="H266" s="17" t="n">
        <x:f>G266*F266</x:f>
        <x:v>3096.2989999999995</x:v>
      </x:c>
      <x:c r="I266" s="22" t="str">
        <x:f>HYPERLINK("https://etp-aktiv.ru/catalog/materialy/instrument-i-specosnastka/2000293674-U121/","Открыть позицию")</x:f>
        <x:v>Открыть позицию</x:v>
      </x:c>
    </x:row>
    <x:row r="267" ht="28" customHeight="1">
      <x:c r="A267" s="16" t="str">
        <x:v>Кемеровская теплосетевая компания</x:v>
      </x:c>
      <x:c r="B267" s="16" t="str">
        <x:v>2000543142-U121</x:v>
      </x:c>
      <x:c r="C267" s="16" t="str">
        <x:v>ЦЕПЬ 64ЗВ 0,325 1,5ММ 15'' OREG 21LPX064</x:v>
      </x:c>
      <x:c r="D267" s="16" t="str">
        <x:v>Инструмент и спецоснастка</x:v>
      </x:c>
      <x:c r="E267" s="16" t="str">
        <x:v>ШТ</x:v>
      </x:c>
      <x:c r="F267" s="21" t="n">
        <x:v>20</x:v>
      </x:c>
      <x:c r="G267" s="17" t="n">
        <x:v>976</x:v>
      </x:c>
      <x:c r="H267" s="17" t="n">
        <x:f>G267*F267</x:f>
        <x:v>19520</x:v>
      </x:c>
      <x:c r="I267" s="22" t="str">
        <x:f>HYPERLINK("https://etp-aktiv.ru/catalog/materialy/instrument-i-specosnastka/2000543142-U121/","Открыть позицию")</x:f>
        <x:v>Открыть позицию</x:v>
      </x:c>
    </x:row>
    <x:row r="268" ht="28" customHeight="1">
      <x:c r="A268" s="16" t="str">
        <x:v>Кемеровская теплосетевая компания</x:v>
      </x:c>
      <x:c r="B268" s="16" t="str">
        <x:v>2000217646-U121</x:v>
      </x:c>
      <x:c r="C268" s="16" t="str">
        <x:v>ЦЕПЬ КОРОТКОЗВЕННАЯ 5ММ ЦИНК DIN766</x:v>
      </x:c>
      <x:c r="D268" s="16" t="str">
        <x:v>Инструмент и спецоснастка специализированные, нестандартные</x:v>
      </x:c>
      <x:c r="E268" s="16" t="str">
        <x:v>М</x:v>
      </x:c>
      <x:c r="F268" s="21" t="n">
        <x:v>30</x:v>
      </x:c>
      <x:c r="G268" s="17" t="n">
        <x:v>503.25</x:v>
      </x:c>
      <x:c r="H268" s="17" t="n">
        <x:f>G268*F268</x:f>
        <x:v>15097.5</x:v>
      </x:c>
      <x:c r="I268" s="22" t="str">
        <x:f>HYPERLINK("https://etp-aktiv.ru/catalog/materialy/instrument-i-specosnastka/2000217646-U121/","Открыть позицию")</x:f>
        <x:v>Открыть позицию</x:v>
      </x:c>
    </x:row>
    <x:row r="269" ht="28" customHeight="1">
      <x:c r="A269" s="16" t="str">
        <x:v>Кемеровская теплосетевая компания</x:v>
      </x:c>
      <x:c r="B269" s="16" t="str">
        <x:v>2000543036-U121</x:v>
      </x:c>
      <x:c r="C269" s="16" t="str">
        <x:v>ШАБЕР ПЛОСКИЙ 20-200ММ 873300</x:v>
      </x:c>
      <x:c r="D269" s="16" t="str">
        <x:v>Инструмент и спецоснастка</x:v>
      </x:c>
      <x:c r="E269" s="16" t="str">
        <x:v>ШТ</x:v>
      </x:c>
      <x:c r="F269" s="21" t="n">
        <x:v>1</x:v>
      </x:c>
      <x:c r="G269" s="17" t="n">
        <x:v>1711.7697999999998</x:v>
      </x:c>
      <x:c r="H269" s="17" t="n">
        <x:f>G269*F269</x:f>
        <x:v>1711.7697999999998</x:v>
      </x:c>
      <x:c r="I269" s="22" t="str">
        <x:f>HYPERLINK("https://etp-aktiv.ru/catalog/materialy/instrument-i-specosnastka/2000543036-U121/","Открыть позицию")</x:f>
        <x:v>Открыть позицию</x:v>
      </x:c>
    </x:row>
    <x:row r="270" ht="28" customHeight="1">
      <x:c r="A270" s="16" t="str">
        <x:v>Кемеровская теплосетевая компания</x:v>
      </x:c>
      <x:c r="B270" s="16" t="str">
        <x:v>2000155304-U121</x:v>
      </x:c>
      <x:c r="C270" s="16" t="str">
        <x:v>ШЛИФКРУГ ЛЕПЕСТКОВЫЙ 125*2,3*22 А40</x:v>
      </x:c>
      <x:c r="D270" s="16" t="str">
        <x:v>Инструмент и спецоснастка</x:v>
      </x:c>
      <x:c r="E270" s="16" t="str">
        <x:v>ШТ</x:v>
      </x:c>
      <x:c r="F270" s="21" t="n">
        <x:v>3</x:v>
      </x:c>
      <x:c r="G270" s="17" t="n">
        <x:v>48.0802</x:v>
      </x:c>
      <x:c r="H270" s="17" t="n">
        <x:f>G270*F270</x:f>
        <x:v>144.2406</x:v>
      </x:c>
      <x:c r="I270" s="22" t="str">
        <x:f>HYPERLINK("https://etp-aktiv.ru/catalog/materialy/instrument-i-specosnastka/2000155304-U121/","Открыть позицию")</x:f>
        <x:v>Открыть позицию</x:v>
      </x:c>
    </x:row>
    <x:row r="271" ht="28" customHeight="1">
      <x:c r="A271" s="16" t="str">
        <x:v>Кемеровская теплосетевая компания</x:v>
      </x:c>
      <x:c r="B271" s="16" t="str">
        <x:v>2000468018-U121</x:v>
      </x:c>
      <x:c r="C271" s="16" t="str">
        <x:v>ШПРИЦ ПЛУНЖЕРНЫЙ PROLUBE PL-42785</x:v>
      </x:c>
      <x:c r="D271" s="16" t="str">
        <x:v>Инструмент и спецоснастка</x:v>
      </x:c>
      <x:c r="E271" s="16" t="str">
        <x:v>ШТ</x:v>
      </x:c>
      <x:c r="F271" s="21" t="n">
        <x:v>2</x:v>
      </x:c>
      <x:c r="G271" s="17" t="n">
        <x:v>1420.0922</x:v>
      </x:c>
      <x:c r="H271" s="17" t="n">
        <x:f>G271*F271</x:f>
        <x:v>2840.1844</x:v>
      </x:c>
      <x:c r="I271" s="22" t="str">
        <x:f>HYPERLINK("https://etp-aktiv.ru/catalog/materialy/instrument-i-specosnastka/2000468018-U121/","Открыть позицию")</x:f>
        <x:v>Открыть позицию</x:v>
      </x:c>
    </x:row>
    <x:row r="272" ht="28" customHeight="1">
      <x:c r="A272" s="16" t="str">
        <x:v>Ново-Кемеровская ТЭЦ</x:v>
      </x:c>
      <x:c r="B272" s="16" t="str">
        <x:v>2000537521-U411</x:v>
      </x:c>
      <x:c r="C272" s="16" t="str">
        <x:v>БОЛТ М42*3-6G*200.109.40Х.016 ГОСТ7805</x:v>
      </x:c>
      <x:c r="D272" s="16" t="str">
        <x:v>Запасные части к мельницам</x:v>
      </x:c>
      <x:c r="E272" s="16" t="str">
        <x:v>ШТ</x:v>
      </x:c>
      <x:c r="F272" s="21" t="n">
        <x:v>8</x:v>
      </x:c>
      <x:c r="G272" s="17" t="n">
        <x:v>467.7602</x:v>
      </x:c>
      <x:c r="H272" s="17" t="n">
        <x:f>G272*F272</x:f>
        <x:v>3742.0816</x:v>
      </x:c>
      <x:c r="I272" s="22" t="str">
        <x:f>HYPERLINK("https://etp-aktiv.ru/catalog/materialy/zapasnye-chasti-promyshlennogo-oborudovaniya/2000537521-U411/","Открыть позицию")</x:f>
        <x:v>Открыть позицию</x:v>
      </x:c>
    </x:row>
    <x:row r="273" ht="28" customHeight="1">
      <x:c r="A273" s="16" t="str">
        <x:v>Ново-Кемеровская ТЭЦ</x:v>
      </x:c>
      <x:c r="B273" s="16" t="str">
        <x:v>5000058434-U411</x:v>
      </x:c>
      <x:c r="C273" s="16" t="str">
        <x:v>ВЕНТИЛЯТОР ВР80-75 N12,5 ПРАВЫЙ 5АИ180М8</x:v>
      </x:c>
      <x:c r="D273" s="16" t="str">
        <x:v>Вентиляционное оборудование</x:v>
      </x:c>
      <x:c r="E273" s="16" t="str">
        <x:v>ШТ</x:v>
      </x:c>
      <x:c r="F273" s="21" t="n">
        <x:v>2</x:v>
      </x:c>
      <x:c r="G273" s="17" t="n">
        <x:v>26579.164</x:v>
      </x:c>
      <x:c r="H273" s="17" t="n">
        <x:f>G273*F273</x:f>
        <x:v>53158.328</x:v>
      </x:c>
      <x:c r="I273" s="22" t="str">
        <x:f>HYPERLINK("https://etp-aktiv.ru/catalog/materialy/zapasnye-chasti-promyshlennogo-oborudovaniya/5000058434-U411/","Открыть позицию")</x:f>
        <x:v>Открыть позицию</x:v>
      </x:c>
    </x:row>
    <x:row r="274" ht="28" customHeight="1">
      <x:c r="A274" s="16" t="str">
        <x:v>Ново-Кемеровская ТЭЦ</x:v>
      </x:c>
      <x:c r="B274" s="16" t="str">
        <x:v>2000556690-U411</x:v>
      </x:c>
      <x:c r="C274" s="16" t="str">
        <x:v>ВТУЛКА HA3124</x:v>
      </x:c>
      <x:c r="D274" s="16" t="str">
        <x:v>Подшипники</x:v>
      </x:c>
      <x:c r="E274" s="16" t="str">
        <x:v>ШТ</x:v>
      </x:c>
      <x:c r="F274" s="21" t="n">
        <x:v>5</x:v>
      </x:c>
      <x:c r="G274" s="17" t="n">
        <x:v>3355</x:v>
      </x:c>
      <x:c r="H274" s="17" t="n">
        <x:f>G274*F274</x:f>
        <x:v>16775</x:v>
      </x:c>
      <x:c r="I274" s="22" t="str">
        <x:f>HYPERLINK("https://etp-aktiv.ru/catalog/materialy/podshipniki/2000556690-U411/","Открыть позицию")</x:f>
        <x:v>Открыть позицию</x:v>
      </x:c>
    </x:row>
    <x:row r="275" ht="28" customHeight="1">
      <x:c r="A275" s="16" t="str">
        <x:v>Ново-Кемеровская ТЭЦ</x:v>
      </x:c>
      <x:c r="B275" s="16" t="str">
        <x:v>2000129205-U411</x:v>
      </x:c>
      <x:c r="C275" s="16" t="str">
        <x:v>ВТУЛКА ПОДСАЛЬНИКОВАЯ 6Ш8-01.048</x:v>
      </x:c>
      <x:c r="D275" s="16" t="str">
        <x:v>Запасные части к насосам</x:v>
      </x:c>
      <x:c r="E275" s="16" t="str">
        <x:v>ШТ</x:v>
      </x:c>
      <x:c r="F275" s="21" t="n">
        <x:v>1</x:v>
      </x:c>
      <x:c r="G275" s="17" t="n">
        <x:v>6279.1936</x:v>
      </x:c>
      <x:c r="H275" s="17" t="n">
        <x:f>G275*F275</x:f>
        <x:v>6279.1936</x:v>
      </x:c>
      <x:c r="I275" s="22" t="str">
        <x:f>HYPERLINK("https://etp-aktiv.ru/catalog/materialy/zapasnye-chasti-promyshlennogo-oborudovaniya/2000129205-U411/","Открыть позицию")</x:f>
        <x:v>Открыть позицию</x:v>
      </x:c>
    </x:row>
    <x:row r="276" ht="28" customHeight="1">
      <x:c r="A276" s="16" t="str">
        <x:v>Ново-Кемеровская ТЭЦ</x:v>
      </x:c>
      <x:c r="B276" s="16" t="str">
        <x:v>2000567247-U411</x:v>
      </x:c>
      <x:c r="C276" s="16" t="str">
        <x:v>ГИЛЬЗА ЗАЩИТНАЯ Н06.16.32.03 Д3200-75-2</x:v>
      </x:c>
      <x:c r="D276" s="16" t="str">
        <x:v>Запасные части к насосам</x:v>
      </x:c>
      <x:c r="E276" s="16" t="str">
        <x:v>ШТ</x:v>
      </x:c>
      <x:c r="F276" s="21" t="n">
        <x:v>2</x:v>
      </x:c>
      <x:c r="G276" s="17" t="n">
        <x:v>4136.8492</x:v>
      </x:c>
      <x:c r="H276" s="17" t="n">
        <x:f>G276*F276</x:f>
        <x:v>8273.6984</x:v>
      </x:c>
      <x:c r="I276" s="22" t="str">
        <x:f>HYPERLINK("https://etp-aktiv.ru/catalog/materialy/zapasnye-chasti-promyshlennogo-oborudovaniya/2000567247-U411/","Открыть позицию")</x:f>
        <x:v>Открыть позицию</x:v>
      </x:c>
    </x:row>
    <x:row r="277" ht="28" customHeight="1">
      <x:c r="A277" s="16" t="str">
        <x:v>Ново-Кемеровская ТЭЦ</x:v>
      </x:c>
      <x:c r="B277" s="16" t="str">
        <x:v>2000442480-U411</x:v>
      </x:c>
      <x:c r="C277" s="16" t="str">
        <x:v>ЗВЕЗДОЧКА Ш-80-2,5 Н80.733.04.0103</x:v>
      </x:c>
      <x:c r="D277" s="16" t="str">
        <x:v>Запасные части к насосам</x:v>
      </x:c>
      <x:c r="E277" s="16" t="str">
        <x:v>ШТ</x:v>
      </x:c>
      <x:c r="F277" s="21" t="n">
        <x:v>2</x:v>
      </x:c>
      <x:c r="G277" s="17" t="n">
        <x:v>79.8856</x:v>
      </x:c>
      <x:c r="H277" s="17" t="n">
        <x:f>G277*F277</x:f>
        <x:v>159.7712</x:v>
      </x:c>
      <x:c r="I277" s="22" t="str">
        <x:f>HYPERLINK("https://etp-aktiv.ru/catalog/materialy/zapasnye-chasti-promyshlennogo-oborudovaniya/2000442480-U411/","Открыть позицию")</x:f>
        <x:v>Открыть позицию</x:v>
      </x:c>
    </x:row>
    <x:row r="278" ht="28" customHeight="1">
      <x:c r="A278" s="16" t="str">
        <x:v>Ново-Кемеровская ТЭЦ</x:v>
      </x:c>
      <x:c r="B278" s="16" t="str">
        <x:v>2000084119-U411</x:v>
      </x:c>
      <x:c r="C278" s="16" t="str">
        <x:v>КЛЮЧ ГАЕЧНЫЙ ДВУСТ 10*12ММ CR-NI</x:v>
      </x:c>
      <x:c r="D278" s="16" t="str">
        <x:v>Инструмент и спецоснастка</x:v>
      </x:c>
      <x:c r="E278" s="16" t="str">
        <x:v>ШТ</x:v>
      </x:c>
      <x:c r="F278" s="21" t="n">
        <x:v>8</x:v>
      </x:c>
      <x:c r="G278" s="17" t="n">
        <x:v>9.5648</x:v>
      </x:c>
      <x:c r="H278" s="17" t="n">
        <x:f>G278*F278</x:f>
        <x:v>76.5184</x:v>
      </x:c>
      <x:c r="I278" s="22" t="str">
        <x:f>HYPERLINK("https://etp-aktiv.ru/catalog/materialy/instrument-i-specosnastka/2000084119-U411/","Открыть позицию")</x:f>
        <x:v>Открыть позицию</x:v>
      </x:c>
    </x:row>
    <x:row r="279" ht="28" customHeight="1">
      <x:c r="A279" s="16" t="str">
        <x:v>Ново-Кемеровская ТЭЦ</x:v>
      </x:c>
      <x:c r="B279" s="16" t="str">
        <x:v>2000716479-U411</x:v>
      </x:c>
      <x:c r="C279" s="16" t="str">
        <x:v>КЛЮЧ ТОРЦ ДВУСТОР СТЕРЖ 19*22 КЗСМИ</x:v>
      </x:c>
      <x:c r="D279" s="16" t="str">
        <x:v>Инструмент и спецоснастка</x:v>
      </x:c>
      <x:c r="E279" s="16" t="str">
        <x:v>ШТ</x:v>
      </x:c>
      <x:c r="F279" s="21" t="n">
        <x:v>16</x:v>
      </x:c>
      <x:c r="G279" s="17" t="n">
        <x:v>21.96</x:v>
      </x:c>
      <x:c r="H279" s="17" t="n">
        <x:f>G279*F279</x:f>
        <x:v>351.36</x:v>
      </x:c>
      <x:c r="I279" s="22" t="str">
        <x:f>HYPERLINK("https://etp-aktiv.ru/catalog/materialy/instrument-i-specosnastka/2000716479-U411/","Открыть позицию")</x:f>
        <x:v>Открыть позицию</x:v>
      </x:c>
    </x:row>
    <x:row r="280" ht="28" customHeight="1">
      <x:c r="A280" s="16" t="str">
        <x:v>Ново-Кемеровская ТЭЦ</x:v>
      </x:c>
      <x:c r="B280" s="16" t="str">
        <x:v>2000595410-U411</x:v>
      </x:c>
      <x:c r="C280" s="16" t="str">
        <x:v>КМП УПЛОТНЕНИЙ СКВОЗНОГО ВАЛА TSO 524</x:v>
      </x:c>
      <x:c r="D280" s="16" t="str">
        <x:v>Подшипники</x:v>
      </x:c>
      <x:c r="E280" s="16" t="str">
        <x:v>ШТ</x:v>
      </x:c>
      <x:c r="F280" s="21" t="n">
        <x:v>10</x:v>
      </x:c>
      <x:c r="G280" s="17" t="n">
        <x:v>2516.25</x:v>
      </x:c>
      <x:c r="H280" s="17" t="n">
        <x:f>G280*F280</x:f>
        <x:v>25162.5</x:v>
      </x:c>
      <x:c r="I280" s="22" t="str">
        <x:f>HYPERLINK("https://etp-aktiv.ru/catalog/materialy/podshipniki/2000595410-U411/","Открыть позицию")</x:f>
        <x:v>Открыть позицию</x:v>
      </x:c>
    </x:row>
    <x:row r="281" ht="28" customHeight="1">
      <x:c r="A281" s="16" t="str">
        <x:v>Ново-Кемеровская ТЭЦ</x:v>
      </x:c>
      <x:c r="B281" s="16" t="str">
        <x:v>2000578071-U411</x:v>
      </x:c>
      <x:c r="C281" s="16" t="str">
        <x:v>КОЛЕСО РАБОЧЕЕ Н49.1124.01.00.012</x:v>
      </x:c>
      <x:c r="D281" s="16" t="str">
        <x:v>Запасные части к насосам</x:v>
      </x:c>
      <x:c r="E281" s="16" t="str">
        <x:v>ШТ</x:v>
      </x:c>
      <x:c r="F281" s="21" t="n">
        <x:v>0</x:v>
      </x:c>
      <x:c r="G281" s="17" t="n">
        <x:v>6393.105</x:v>
      </x:c>
      <x:c r="H281" s="17" t="n">
        <x:f>G281*F281</x:f>
        <x:v>0</x:v>
      </x:c>
      <x:c r="I281" s="22" t="str">
        <x:f>HYPERLINK("https://etp-aktiv.ru/catalog/materialy/zapasnye-chasti-promyshlennogo-oborudovaniya/2000578071-U411/","Открыть позицию")</x:f>
        <x:v>Открыть позицию</x:v>
      </x:c>
    </x:row>
    <x:row r="282" ht="28" customHeight="1">
      <x:c r="A282" s="16" t="str">
        <x:v>Ново-Кемеровская ТЭЦ</x:v>
      </x:c>
      <x:c r="B282" s="16" t="str">
        <x:v>2000240668-U411</x:v>
      </x:c>
      <x:c r="C282" s="16" t="str">
        <x:v>КОЛЕСО ЧЕРВЯЧНОЕ РЧО-1,1-200</x:v>
      </x:c>
      <x:c r="D282" s="16" t="str">
        <x:v>Запасные части к насосам</x:v>
      </x:c>
      <x:c r="E282" s="16" t="str">
        <x:v>ШТ</x:v>
      </x:c>
      <x:c r="F282" s="21" t="n">
        <x:v>5</x:v>
      </x:c>
      <x:c r="G282" s="17" t="n">
        <x:v>5600.483200000001</x:v>
      </x:c>
      <x:c r="H282" s="17" t="n">
        <x:f>G282*F282</x:f>
        <x:v>28002.416000000005</x:v>
      </x:c>
      <x:c r="I282" s="22" t="str">
        <x:f>HYPERLINK("https://etp-aktiv.ru/catalog/materialy/nasosno-kompressornoe-oborudovanie/2000240668-U411/","Открыть позицию")</x:f>
        <x:v>Открыть позицию</x:v>
      </x:c>
    </x:row>
    <x:row r="283" ht="28" customHeight="1">
      <x:c r="A283" s="16" t="str">
        <x:v>Ново-Кемеровская ТЭЦ</x:v>
      </x:c>
      <x:c r="B283" s="16" t="str">
        <x:v>2000556686-U411</x:v>
      </x:c>
      <x:c r="C283" s="16" t="str">
        <x:v>КОЛЬЦО FRB 14/215</x:v>
      </x:c>
      <x:c r="D283" s="16" t="str">
        <x:v>Подшипники</x:v>
      </x:c>
      <x:c r="E283" s="16" t="str">
        <x:v>ШТ</x:v>
      </x:c>
      <x:c r="F283" s="21" t="n">
        <x:v>9</x:v>
      </x:c>
      <x:c r="G283" s="17" t="n">
        <x:v>172.4836</x:v>
      </x:c>
      <x:c r="H283" s="17" t="n">
        <x:f>G283*F283</x:f>
        <x:v>1552.3524</x:v>
      </x:c>
      <x:c r="I283" s="22" t="str">
        <x:f>HYPERLINK("https://etp-aktiv.ru/catalog/materialy/podshipniki/2000556686-U411/","Открыть позицию")</x:f>
        <x:v>Открыть позицию</x:v>
      </x:c>
    </x:row>
    <x:row r="284" ht="28" customHeight="1">
      <x:c r="A284" s="16" t="str">
        <x:v>Ново-Кемеровская ТЭЦ</x:v>
      </x:c>
      <x:c r="B284" s="16" t="str">
        <x:v>2000256449-U411</x:v>
      </x:c>
      <x:c r="C284" s="16" t="str">
        <x:v>КОЛЬЦО У87.00.01</x:v>
      </x:c>
      <x:c r="D284" s="16" t="str">
        <x:v>Запасные части к насосам</x:v>
      </x:c>
      <x:c r="E284" s="16" t="str">
        <x:v>ШТ</x:v>
      </x:c>
      <x:c r="F284" s="21" t="n">
        <x:v>8</x:v>
      </x:c>
      <x:c r="G284" s="17" t="n">
        <x:v>590.0042</x:v>
      </x:c>
      <x:c r="H284" s="17" t="n">
        <x:f>G284*F284</x:f>
        <x:v>4720.0336</x:v>
      </x:c>
      <x:c r="I284" s="22" t="str">
        <x:f>HYPERLINK("https://etp-aktiv.ru/catalog/materialy/zapasnye-chasti-promyshlennogo-oborudovaniya/2000256449-U411/","Открыть позицию")</x:f>
        <x:v>Открыть позицию</x:v>
      </x:c>
    </x:row>
    <x:row r="285" ht="28" customHeight="1">
      <x:c r="A285" s="16" t="str">
        <x:v>Ново-Кемеровская ТЭЦ</x:v>
      </x:c>
      <x:c r="B285" s="16" t="str">
        <x:v>2000256474-U411</x:v>
      </x:c>
      <x:c r="C285" s="16" t="str">
        <x:v>КОЛЬЦО У87.00.01-01</x:v>
      </x:c>
      <x:c r="D285" s="16" t="str">
        <x:v>Запасные части к насосам</x:v>
      </x:c>
      <x:c r="E285" s="16" t="str">
        <x:v>ШТ</x:v>
      </x:c>
      <x:c r="F285" s="21" t="n">
        <x:v>1</x:v>
      </x:c>
      <x:c r="G285" s="17" t="n">
        <x:v>510.54560000000004</x:v>
      </x:c>
      <x:c r="H285" s="17" t="n">
        <x:f>G285*F285</x:f>
        <x:v>510.54560000000004</x:v>
      </x:c>
      <x:c r="I285" s="22" t="str">
        <x:f>HYPERLINK("https://etp-aktiv.ru/catalog/materialy/zapasnye-chasti-promyshlennogo-oborudovaniya/2000256474-U411/","Открыть позицию")</x:f>
        <x:v>Открыть позицию</x:v>
      </x:c>
    </x:row>
    <x:row r="286" ht="28" customHeight="1">
      <x:c r="A286" s="16" t="str">
        <x:v>Ново-Кемеровская ТЭЦ</x:v>
      </x:c>
      <x:c r="B286" s="16" t="str">
        <x:v>2000256453-U411</x:v>
      </x:c>
      <x:c r="C286" s="16" t="str">
        <x:v>КОЛЬЦО У87.00.01-02</x:v>
      </x:c>
      <x:c r="D286" s="16" t="str">
        <x:v>Запасные части к насосам</x:v>
      </x:c>
      <x:c r="E286" s="16" t="str">
        <x:v>ШТ</x:v>
      </x:c>
      <x:c r="F286" s="21" t="n">
        <x:v>2</x:v>
      </x:c>
      <x:c r="G286" s="17" t="n">
        <x:v>590.0042</x:v>
      </x:c>
      <x:c r="H286" s="17" t="n">
        <x:f>G286*F286</x:f>
        <x:v>1180.0084</x:v>
      </x:c>
      <x:c r="I286" s="22" t="str">
        <x:f>HYPERLINK("https://etp-aktiv.ru/catalog/materialy/zapasnye-chasti-promyshlennogo-oborudovaniya/2000256453-U411/","Открыть позицию")</x:f>
        <x:v>Открыть позицию</x:v>
      </x:c>
    </x:row>
    <x:row r="287" ht="28" customHeight="1">
      <x:c r="A287" s="16" t="str">
        <x:v>Ново-Кемеровская ТЭЦ</x:v>
      </x:c>
      <x:c r="B287" s="16" t="str">
        <x:v>2000256476-U411</x:v>
      </x:c>
      <x:c r="C287" s="16" t="str">
        <x:v>КОЛЬЦО У87.00.01-05</x:v>
      </x:c>
      <x:c r="D287" s="16" t="str">
        <x:v>Запасные части к насосам</x:v>
      </x:c>
      <x:c r="E287" s="16" t="str">
        <x:v>ШТ</x:v>
      </x:c>
      <x:c r="F287" s="21" t="n">
        <x:v>1</x:v>
      </x:c>
      <x:c r="G287" s="17" t="n">
        <x:v>510.5822</x:v>
      </x:c>
      <x:c r="H287" s="17" t="n">
        <x:f>G287*F287</x:f>
        <x:v>510.5822</x:v>
      </x:c>
      <x:c r="I287" s="22" t="str">
        <x:f>HYPERLINK("https://etp-aktiv.ru/catalog/materialy/zapasnye-chasti-promyshlennogo-oborudovaniya/2000256476-U411/","Открыть позицию")</x:f>
        <x:v>Открыть позицию</x:v>
      </x:c>
    </x:row>
    <x:row r="288" ht="28" customHeight="1">
      <x:c r="A288" s="16" t="str">
        <x:v>Ново-Кемеровская ТЭЦ</x:v>
      </x:c>
      <x:c r="B288" s="16" t="str">
        <x:v>2000256478-U411</x:v>
      </x:c>
      <x:c r="C288" s="16" t="str">
        <x:v>КОЛЬЦО У87.00.02-01</x:v>
      </x:c>
      <x:c r="D288" s="16" t="str">
        <x:v>Запасные части к насосам</x:v>
      </x:c>
      <x:c r="E288" s="16" t="str">
        <x:v>ШТ</x:v>
      </x:c>
      <x:c r="F288" s="21" t="n">
        <x:v>2</x:v>
      </x:c>
      <x:c r="G288" s="17" t="n">
        <x:v>754.6676</x:v>
      </x:c>
      <x:c r="H288" s="17" t="n">
        <x:f>G288*F288</x:f>
        <x:v>1509.3352</x:v>
      </x:c>
      <x:c r="I288" s="22" t="str">
        <x:f>HYPERLINK("https://etp-aktiv.ru/catalog/materialy/zapasnye-chasti-promyshlennogo-oborudovaniya/2000256478-U411/","Открыть позицию")</x:f>
        <x:v>Открыть позицию</x:v>
      </x:c>
    </x:row>
    <x:row r="289" ht="28" customHeight="1">
      <x:c r="A289" s="16" t="str">
        <x:v>Ново-Кемеровская ТЭЦ</x:v>
      </x:c>
      <x:c r="B289" s="16" t="str">
        <x:v>2000466248-U411</x:v>
      </x:c>
      <x:c r="C289" s="16" t="str">
        <x:v>КОЛЬЦО УПЛОТНИТЕЛЬНОЕ 6Ш8 6Ш8-2.01.006А</x:v>
      </x:c>
      <x:c r="D289" s="16" t="str">
        <x:v>Запасные части к насосам</x:v>
      </x:c>
      <x:c r="E289" s="16" t="str">
        <x:v>ШТ</x:v>
      </x:c>
      <x:c r="F289" s="21" t="n">
        <x:v>1</x:v>
      </x:c>
      <x:c r="G289" s="17" t="n">
        <x:v>10476.75</x:v>
      </x:c>
      <x:c r="H289" s="17" t="n">
        <x:f>G289*F289</x:f>
        <x:v>10476.75</x:v>
      </x:c>
      <x:c r="I289" s="22" t="str">
        <x:f>HYPERLINK("https://etp-aktiv.ru/catalog/materialy/zapasnye-chasti-promyshlennogo-oborudovaniya/2000466248-U411/","Открыть позицию")</x:f>
        <x:v>Открыть позицию</x:v>
      </x:c>
    </x:row>
    <x:row r="290" ht="28" customHeight="1">
      <x:c r="A290" s="16" t="str">
        <x:v>Ново-Кемеровская ТЭЦ</x:v>
      </x:c>
      <x:c r="B290" s="16" t="str">
        <x:v>2000593257-U411</x:v>
      </x:c>
      <x:c r="C290" s="16" t="str">
        <x:v>КОЛЬЦО ФИКСИРУЮЩЕЕ FRB 12/215</x:v>
      </x:c>
      <x:c r="D290" s="16" t="str">
        <x:v>Подшипники</x:v>
      </x:c>
      <x:c r="E290" s="16" t="str">
        <x:v>ШТ</x:v>
      </x:c>
      <x:c r="F290" s="21" t="n">
        <x:v>2</x:v>
      </x:c>
      <x:c r="G290" s="17" t="n">
        <x:v>283.65</x:v>
      </x:c>
      <x:c r="H290" s="17" t="n">
        <x:f>G290*F290</x:f>
        <x:v>567.3</x:v>
      </x:c>
      <x:c r="I290" s="22" t="str">
        <x:f>HYPERLINK("https://etp-aktiv.ru/catalog/materialy/podshipniki/2000593257-U411/","Открыть позицию")</x:f>
        <x:v>Открыть позицию</x:v>
      </x:c>
    </x:row>
    <x:row r="291" ht="28" customHeight="1">
      <x:c r="A291" s="16" t="str">
        <x:v>Ново-Кемеровская ТЭЦ</x:v>
      </x:c>
      <x:c r="B291" s="16" t="str">
        <x:v>2000315294-U411</x:v>
      </x:c>
      <x:c r="C291" s="16" t="str">
        <x:v>КРАН-БЛОК ШАРОВЫЙ DN32 303536</x:v>
      </x:c>
      <x:c r="D291" s="16" t="str">
        <x:v>Запасные части к прочему ГШО</x:v>
      </x:c>
      <x:c r="E291" s="16" t="str">
        <x:v>ШТ</x:v>
      </x:c>
      <x:c r="F291" s="21" t="n">
        <x:v>6</x:v>
      </x:c>
      <x:c r="G291" s="17" t="n">
        <x:v>622.5903999999999</x:v>
      </x:c>
      <x:c r="H291" s="17" t="n">
        <x:f>G291*F291</x:f>
        <x:v>3735.5423999999994</x:v>
      </x:c>
      <x:c r="I291" s="22" t="str">
        <x:f>HYPERLINK("https://etp-aktiv.ru/catalog/materialy/zapasnye-chasti-k-gorno-shahtnomu-oborudovaniyu/2000315294-U411/","Открыть позицию")</x:f>
        <x:v>Открыть позицию</x:v>
      </x:c>
    </x:row>
    <x:row r="292" ht="28" customHeight="1">
      <x:c r="A292" s="16" t="str">
        <x:v>Ново-Кемеровская ТЭЦ</x:v>
      </x:c>
      <x:c r="B292" s="16" t="str">
        <x:v>2000544123-U411</x:v>
      </x:c>
      <x:c r="C292" s="16" t="str">
        <x:v>КРУГ ЗАЧИСТНОЙ 1 125*6,0*22 14А BF 2 МЕТ</x:v>
      </x:c>
      <x:c r="D292" s="16" t="str">
        <x:v>Инструмент и спецоснастка</x:v>
      </x:c>
      <x:c r="E292" s="16" t="str">
        <x:v>ШТ</x:v>
      </x:c>
      <x:c r="F292" s="21" t="n">
        <x:v>10</x:v>
      </x:c>
      <x:c r="G292" s="17" t="n">
        <x:v>21.044999999999998</x:v>
      </x:c>
      <x:c r="H292" s="17" t="n">
        <x:f>G292*F292</x:f>
        <x:v>210.45</x:v>
      </x:c>
      <x:c r="I292" s="22" t="str">
        <x:f>HYPERLINK("https://etp-aktiv.ru/catalog/materialy/instrument-i-specosnastka/2000544123-U411/","Открыть позицию")</x:f>
        <x:v>Открыть позицию</x:v>
      </x:c>
    </x:row>
    <x:row r="293" ht="28" customHeight="1">
      <x:c r="A293" s="16" t="str">
        <x:v>Ново-Кемеровская ТЭЦ</x:v>
      </x:c>
      <x:c r="B293" s="16" t="str">
        <x:v>2000544066-U411</x:v>
      </x:c>
      <x:c r="C293" s="16" t="str">
        <x:v>КРУГ ШЛ КЛТ1 150*22 14А А40 Р60</x:v>
      </x:c>
      <x:c r="D293" s="16" t="str">
        <x:v>Инструмент и спецоснастка</x:v>
      </x:c>
      <x:c r="E293" s="16" t="str">
        <x:v>ШТ</x:v>
      </x:c>
      <x:c r="F293" s="21" t="n">
        <x:v>4</x:v>
      </x:c>
      <x:c r="G293" s="17" t="n">
        <x:v>47.1286</x:v>
      </x:c>
      <x:c r="H293" s="17" t="n">
        <x:f>G293*F293</x:f>
        <x:v>188.5144</x:v>
      </x:c>
      <x:c r="I293" s="22" t="str">
        <x:f>HYPERLINK("https://etp-aktiv.ru/catalog/materialy/instrument-i-specosnastka/2000544066-U411/","Открыть позицию")</x:f>
        <x:v>Открыть позицию</x:v>
      </x:c>
    </x:row>
    <x:row r="294" ht="28" customHeight="1">
      <x:c r="A294" s="16" t="str">
        <x:v>Ново-Кемеровская ТЭЦ</x:v>
      </x:c>
      <x:c r="B294" s="16" t="str">
        <x:v>2000511120-U411</x:v>
      </x:c>
      <x:c r="C294" s="16" t="str">
        <x:v>КРУГ ШЛИФ 200*25*32 64С 25СТ F60</x:v>
      </x:c>
      <x:c r="D294" s="16" t="str">
        <x:v>Инструмент и спецоснастка</x:v>
      </x:c>
      <x:c r="E294" s="16" t="str">
        <x:v>ШТ</x:v>
      </x:c>
      <x:c r="F294" s="21" t="n">
        <x:v>1</x:v>
      </x:c>
      <x:c r="G294" s="17" t="n">
        <x:v>148.2544</x:v>
      </x:c>
      <x:c r="H294" s="17" t="n">
        <x:f>G294*F294</x:f>
        <x:v>148.2544</x:v>
      </x:c>
      <x:c r="I294" s="22" t="str">
        <x:f>HYPERLINK("https://etp-aktiv.ru/catalog/materialy/instrument-i-specosnastka/2000511120-U411/","Открыть позицию")</x:f>
        <x:v>Открыть позицию</x:v>
      </x:c>
    </x:row>
    <x:row r="295" ht="28" customHeight="1">
      <x:c r="A295" s="16" t="str">
        <x:v>Ново-Кемеровская ТЭЦ</x:v>
      </x:c>
      <x:c r="B295" s="16" t="str">
        <x:v>2000544274-U411</x:v>
      </x:c>
      <x:c r="C295" s="16" t="str">
        <x:v>КРУГ ШЛИФОВАЛЬНЫЙ 200*40*76 25А F46 КL</x:v>
      </x:c>
      <x:c r="D295" s="16" t="str">
        <x:v>Инструмент и спецоснастка</x:v>
      </x:c>
      <x:c r="E295" s="16" t="str">
        <x:v>ШТ</x:v>
      </x:c>
      <x:c r="F295" s="21" t="n">
        <x:v>9</x:v>
      </x:c>
      <x:c r="G295" s="17" t="n">
        <x:v>751.0563999999999</x:v>
      </x:c>
      <x:c r="H295" s="17" t="n">
        <x:f>G295*F295</x:f>
        <x:v>6759.507599999999</x:v>
      </x:c>
      <x:c r="I295" s="22" t="str">
        <x:f>HYPERLINK("https://etp-aktiv.ru/catalog/materialy/instrument-i-specosnastka/2000544274-U411/","Открыть позицию")</x:f>
        <x:v>Открыть позицию</x:v>
      </x:c>
    </x:row>
    <x:row r="296" ht="28" customHeight="1">
      <x:c r="A296" s="16" t="str">
        <x:v>Ново-Кемеровская ТЭЦ</x:v>
      </x:c>
      <x:c r="B296" s="16" t="str">
        <x:v>2000718004-U411</x:v>
      </x:c>
      <x:c r="C296" s="16" t="str">
        <x:v>КРУГ ШЛИФОВАЛЬНЫЙ ПП 350*40*76 25А</x:v>
      </x:c>
      <x:c r="D296" s="16" t="str">
        <x:v>Инструмент и спецоснастка</x:v>
      </x:c>
      <x:c r="E296" s="16" t="str">
        <x:v>ШТ</x:v>
      </x:c>
      <x:c r="F296" s="21" t="n">
        <x:v>1</x:v>
      </x:c>
      <x:c r="G296" s="17" t="n">
        <x:v>859.612</x:v>
      </x:c>
      <x:c r="H296" s="17" t="n">
        <x:f>G296*F296</x:f>
        <x:v>859.612</x:v>
      </x:c>
      <x:c r="I296" s="22" t="str">
        <x:f>HYPERLINK("https://etp-aktiv.ru/catalog/materialy/instrument-i-specosnastka/2000718004-U411/","Открыть позицию")</x:f>
        <x:v>Открыть позицию</x:v>
      </x:c>
    </x:row>
    <x:row r="297" ht="28" customHeight="1">
      <x:c r="A297" s="16" t="str">
        <x:v>Ново-Кемеровская ТЭЦ</x:v>
      </x:c>
      <x:c r="B297" s="16" t="str">
        <x:v>2000078246-U411</x:v>
      </x:c>
      <x:c r="C297" s="16" t="str">
        <x:v>КУВАЛДА 2КГ UNIOR</x:v>
      </x:c>
      <x:c r="D297" s="16" t="str">
        <x:v>Инструмент и спецоснастка</x:v>
      </x:c>
      <x:c r="E297" s="16" t="str">
        <x:v>ШТ</x:v>
      </x:c>
      <x:c r="F297" s="21" t="n">
        <x:v>1</x:v>
      </x:c>
      <x:c r="G297" s="17" t="n">
        <x:v>872.1658</x:v>
      </x:c>
      <x:c r="H297" s="17" t="n">
        <x:f>G297*F297</x:f>
        <x:v>872.1658</x:v>
      </x:c>
      <x:c r="I297" s="22" t="str">
        <x:f>HYPERLINK("https://etp-aktiv.ru/catalog/materialy/instrument-i-specosnastka/2000078246-U411/","Открыть позицию")</x:f>
        <x:v>Открыть позицию</x:v>
      </x:c>
    </x:row>
    <x:row r="298" ht="28" customHeight="1">
      <x:c r="A298" s="16" t="str">
        <x:v>Ново-Кемеровская ТЭЦ</x:v>
      </x:c>
      <x:c r="B298" s="16" t="str">
        <x:v>2000594064-U411</x:v>
      </x:c>
      <x:c r="C298" s="16" t="str">
        <x:v>МАНЖЕТА I Н404.145.006-13(М50*70ИРП1068)</x:v>
      </x:c>
      <x:c r="D298" s="16" t="str">
        <x:v>Запасные части к насосам</x:v>
      </x:c>
      <x:c r="E298" s="16" t="str">
        <x:v>ШТ</x:v>
      </x:c>
      <x:c r="F298" s="21" t="n">
        <x:v>40</x:v>
      </x:c>
      <x:c r="G298" s="17" t="n">
        <x:v>160.125</x:v>
      </x:c>
      <x:c r="H298" s="17" t="n">
        <x:f>G298*F298</x:f>
        <x:v>6405</x:v>
      </x:c>
      <x:c r="I298" s="22" t="str">
        <x:f>HYPERLINK("https://etp-aktiv.ru/catalog/materialy/zapasnye-chasti-promyshlennogo-oborudovaniya/2000594064-U411/","Открыть позицию")</x:f>
        <x:v>Открыть позицию</x:v>
      </x:c>
    </x:row>
    <x:row r="299" ht="28" customHeight="1">
      <x:c r="A299" s="16" t="str">
        <x:v>Ново-Кемеровская ТЭЦ</x:v>
      </x:c>
      <x:c r="B299" s="16" t="str">
        <x:v>2000593905-U411</x:v>
      </x:c>
      <x:c r="C299" s="16" t="str">
        <x:v>МАНЖЕТА I Н404.145.006-15 60*80 НАСОС НД</x:v>
      </x:c>
      <x:c r="D299" s="16" t="str">
        <x:v>Запасные части к насосам</x:v>
      </x:c>
      <x:c r="E299" s="16" t="str">
        <x:v>ШТ</x:v>
      </x:c>
      <x:c r="F299" s="21" t="n">
        <x:v>20</x:v>
      </x:c>
      <x:c r="G299" s="17" t="n">
        <x:v>343.125</x:v>
      </x:c>
      <x:c r="H299" s="17" t="n">
        <x:f>G299*F299</x:f>
        <x:v>6862.5</x:v>
      </x:c>
      <x:c r="I299" s="22" t="str">
        <x:f>HYPERLINK("https://etp-aktiv.ru/catalog/materialy/zapasnye-chasti-promyshlennogo-oborudovaniya/2000593905-U411/","Открыть позицию")</x:f>
        <x:v>Открыть позицию</x:v>
      </x:c>
    </x:row>
    <x:row r="300" ht="28" customHeight="1">
      <x:c r="A300" s="16" t="str">
        <x:v>Ново-Кемеровская ТЭЦ</x:v>
      </x:c>
      <x:c r="B300" s="16" t="str">
        <x:v>2000593278-U411</x:v>
      </x:c>
      <x:c r="C300" s="16" t="str">
        <x:v>МАНЖЕТА НД40/160 АР33-01-012-05</x:v>
      </x:c>
      <x:c r="D300" s="16" t="str">
        <x:v>Запасные части к насосам</x:v>
      </x:c>
      <x:c r="E300" s="16" t="str">
        <x:v>ШТ</x:v>
      </x:c>
      <x:c r="F300" s="21" t="n">
        <x:v>500</x:v>
      </x:c>
      <x:c r="G300" s="17" t="n">
        <x:v>114.375</x:v>
      </x:c>
      <x:c r="H300" s="17" t="n">
        <x:f>G300*F300</x:f>
        <x:v>57187.5</x:v>
      </x:c>
      <x:c r="I300" s="22" t="str">
        <x:f>HYPERLINK("https://etp-aktiv.ru/catalog/materialy/zapasnye-chasti-promyshlennogo-oborudovaniya/2000593278-U411/","Открыть позицию")</x:f>
        <x:v>Открыть позицию</x:v>
      </x:c>
    </x:row>
    <x:row r="301" ht="28" customHeight="1">
      <x:c r="A301" s="16" t="str">
        <x:v>Ново-Кемеровская ТЭЦ</x:v>
      </x:c>
      <x:c r="B301" s="16" t="str">
        <x:v>2000158634-U411</x:v>
      </x:c>
      <x:c r="C301" s="16" t="str">
        <x:v>МАСЛО КОМПРЕССОРНОЕ SHELL CORENA S4 R46</x:v>
      </x:c>
      <x:c r="D301" s="16" t="str">
        <x:v>Масла и смазки различного назначения и типа</x:v>
      </x:c>
      <x:c r="E301" s="16" t="str">
        <x:v>Т</x:v>
      </x:c>
      <x:c r="F301" s="30" t="n">
        <x:v>0.012</x:v>
      </x:c>
      <x:c r="G301" s="17" t="n">
        <x:v>295946.8436</x:v>
      </x:c>
      <x:c r="H301" s="17" t="n">
        <x:f>G301*F301</x:f>
        <x:v>3551.3621232000005</x:v>
      </x:c>
      <x:c r="I301" s="22" t="str">
        <x:f>HYPERLINK("https://etp-aktiv.ru/catalog/materialy/gsm/2000158634-U411/","Открыть позицию")</x:f>
        <x:v>Открыть позицию</x:v>
      </x:c>
    </x:row>
    <x:row r="302" ht="28" customHeight="1">
      <x:c r="A302" s="16" t="str">
        <x:v>Ново-Кемеровская ТЭЦ</x:v>
      </x:c>
      <x:c r="B302" s="16" t="str">
        <x:v>2000692999-U411</x:v>
      </x:c>
      <x:c r="C302" s="16" t="str">
        <x:v>ОБОЙМА ЗУБЧАТАЯ НВР-20-36-3 1409702</x:v>
      </x:c>
      <x:c r="D302" s="16" t="str">
        <x:v>Запасные части к насосам</x:v>
      </x:c>
      <x:c r="E302" s="16" t="str">
        <x:v>ШТ</x:v>
      </x:c>
      <x:c r="F302" s="21" t="n">
        <x:v>1</x:v>
      </x:c>
      <x:c r="G302" s="17" t="n">
        <x:v>64589.0326</x:v>
      </x:c>
      <x:c r="H302" s="17" t="n">
        <x:f>G302*F302</x:f>
        <x:v>64589.0326</x:v>
      </x:c>
      <x:c r="I302" s="22" t="str">
        <x:f>HYPERLINK("https://etp-aktiv.ru/catalog/materialy/nasosno-kompressornoe-oborudovanie/2000692999-U411/","Открыть позицию")</x:f>
        <x:v>Открыть позицию</x:v>
      </x:c>
    </x:row>
    <x:row r="303" ht="28" customHeight="1">
      <x:c r="A303" s="16" t="str">
        <x:v>Ново-Кемеровская ТЭЦ</x:v>
      </x:c>
      <x:c r="B303" s="16" t="str">
        <x:v>2000127296-U411</x:v>
      </x:c>
      <x:c r="C303" s="16" t="str">
        <x:v>ПОДШИПНИК 117</x:v>
      </x:c>
      <x:c r="D303" s="16" t="str">
        <x:v>Подшипники</x:v>
      </x:c>
      <x:c r="E303" s="16" t="str">
        <x:v>ШТ</x:v>
      </x:c>
      <x:c r="F303" s="21" t="n">
        <x:v>1</x:v>
      </x:c>
      <x:c r="G303" s="17" t="n">
        <x:v>161.80859999999998</x:v>
      </x:c>
      <x:c r="H303" s="17" t="n">
        <x:f>G303*F303</x:f>
        <x:v>161.80859999999998</x:v>
      </x:c>
      <x:c r="I303" s="22" t="str">
        <x:f>HYPERLINK("https://etp-aktiv.ru/catalog/materialy/podshipniki/2000127296-U411/","Открыть позицию")</x:f>
        <x:v>Открыть позицию</x:v>
      </x:c>
    </x:row>
    <x:row r="304" ht="28" customHeight="1">
      <x:c r="A304" s="16" t="str">
        <x:v>Ново-Кемеровская ТЭЦ</x:v>
      </x:c>
      <x:c r="B304" s="16" t="str">
        <x:v>2000449745-U411</x:v>
      </x:c>
      <x:c r="C304" s="16" t="str">
        <x:v>ПОДШИПНИК 1201</x:v>
      </x:c>
      <x:c r="D304" s="16" t="str">
        <x:v>Подшипники</x:v>
      </x:c>
      <x:c r="E304" s="16" t="str">
        <x:v>ШТ</x:v>
      </x:c>
      <x:c r="F304" s="21" t="n">
        <x:v>5</x:v>
      </x:c>
      <x:c r="G304" s="17" t="n">
        <x:v>13.3834</x:v>
      </x:c>
      <x:c r="H304" s="17" t="n">
        <x:f>G304*F304</x:f>
        <x:v>66.917</x:v>
      </x:c>
      <x:c r="I304" s="22" t="str">
        <x:f>HYPERLINK("https://etp-aktiv.ru/catalog/materialy/podshipniki/2000449745-U411/","Открыть позицию")</x:f>
        <x:v>Открыть позицию</x:v>
      </x:c>
    </x:row>
    <x:row r="305" ht="28" customHeight="1">
      <x:c r="A305" s="16" t="str">
        <x:v>Ново-Кемеровская ТЭЦ</x:v>
      </x:c>
      <x:c r="B305" s="16" t="str">
        <x:v>2000005738-U411</x:v>
      </x:c>
      <x:c r="C305" s="16" t="str">
        <x:v>ПОДШИПНИК 1208</x:v>
      </x:c>
      <x:c r="D305" s="16" t="str">
        <x:v>Подшипники</x:v>
      </x:c>
      <x:c r="E305" s="16" t="str">
        <x:v>ШТ</x:v>
      </x:c>
      <x:c r="F305" s="21" t="n">
        <x:v>1</x:v>
      </x:c>
      <x:c r="G305" s="17" t="n">
        <x:v>91.5</x:v>
      </x:c>
      <x:c r="H305" s="17" t="n">
        <x:f>G305*F305</x:f>
        <x:v>91.5</x:v>
      </x:c>
      <x:c r="I305" s="22" t="str">
        <x:f>HYPERLINK("https://etp-aktiv.ru/catalog/materialy/podshipniki/2000005738-U411/","Открыть позицию")</x:f>
        <x:v>Открыть позицию</x:v>
      </x:c>
    </x:row>
    <x:row r="306" ht="28" customHeight="1">
      <x:c r="A306" s="16" t="str">
        <x:v>Ново-Кемеровская ТЭЦ</x:v>
      </x:c>
      <x:c r="B306" s="16" t="str">
        <x:v>2000116570-U411</x:v>
      </x:c>
      <x:c r="C306" s="16" t="str">
        <x:v>ПОДШИПНИК 122</x:v>
      </x:c>
      <x:c r="D306" s="16" t="str">
        <x:v>Подшипники</x:v>
      </x:c>
      <x:c r="E306" s="16" t="str">
        <x:v>ШТ</x:v>
      </x:c>
      <x:c r="F306" s="21" t="n">
        <x:v>3</x:v>
      </x:c>
      <x:c r="G306" s="17" t="n">
        <x:v>304.4998</x:v>
      </x:c>
      <x:c r="H306" s="17" t="n">
        <x:f>G306*F306</x:f>
        <x:v>913.4993999999999</x:v>
      </x:c>
      <x:c r="I306" s="22" t="str">
        <x:f>HYPERLINK("https://etp-aktiv.ru/catalog/materialy/podshipniki/2000116570-U411/","Открыть позицию")</x:f>
        <x:v>Открыть позицию</x:v>
      </x:c>
    </x:row>
    <x:row r="307" ht="28" customHeight="1">
      <x:c r="A307" s="16" t="str">
        <x:v>Ново-Кемеровская ТЭЦ</x:v>
      </x:c>
      <x:c r="B307" s="16" t="str">
        <x:v>2000556513-U411</x:v>
      </x:c>
      <x:c r="C307" s="16" t="str">
        <x:v>ПОДШИПНИК 124</x:v>
      </x:c>
      <x:c r="D307" s="16" t="str">
        <x:v>Подшипники</x:v>
      </x:c>
      <x:c r="E307" s="16" t="str">
        <x:v>ШТ</x:v>
      </x:c>
      <x:c r="F307" s="21" t="n">
        <x:v>1</x:v>
      </x:c>
      <x:c r="G307" s="17" t="n">
        <x:v>340.8436</x:v>
      </x:c>
      <x:c r="H307" s="17" t="n">
        <x:f>G307*F307</x:f>
        <x:v>340.8436</x:v>
      </x:c>
      <x:c r="I307" s="22" t="str">
        <x:f>HYPERLINK("https://etp-aktiv.ru/catalog/materialy/podshipniki/2000556513-U411/","Открыть позицию")</x:f>
        <x:v>Открыть позицию</x:v>
      </x:c>
    </x:row>
    <x:row r="308" ht="28" customHeight="1">
      <x:c r="A308" s="16" t="str">
        <x:v>Ново-Кемеровская ТЭЦ</x:v>
      </x:c>
      <x:c r="B308" s="16" t="str">
        <x:v>2000004727-U411</x:v>
      </x:c>
      <x:c r="C308" s="16" t="str">
        <x:v>ПОДШИПНИК 1310</x:v>
      </x:c>
      <x:c r="D308" s="16" t="str">
        <x:v>Подшипники</x:v>
      </x:c>
      <x:c r="E308" s="16" t="str">
        <x:v>ШТ</x:v>
      </x:c>
      <x:c r="F308" s="21" t="n">
        <x:v>3</x:v>
      </x:c>
      <x:c r="G308" s="17" t="n">
        <x:v>201.29999999999998</x:v>
      </x:c>
      <x:c r="H308" s="17" t="n">
        <x:f>G308*F308</x:f>
        <x:v>603.9</x:v>
      </x:c>
      <x:c r="I308" s="22" t="str">
        <x:f>HYPERLINK("https://etp-aktiv.ru/catalog/materialy/podshipniki/2000004727-U411/","Открыть позицию")</x:f>
        <x:v>Открыть позицию</x:v>
      </x:c>
    </x:row>
    <x:row r="309" ht="28" customHeight="1">
      <x:c r="A309" s="16" t="str">
        <x:v>Ново-Кемеровская ТЭЦ</x:v>
      </x:c>
      <x:c r="B309" s="16" t="str">
        <x:v>2000454029-U411</x:v>
      </x:c>
      <x:c r="C309" s="16" t="str">
        <x:v>ПОДШИПНИК 1318</x:v>
      </x:c>
      <x:c r="D309" s="16" t="str">
        <x:v>Подшипники</x:v>
      </x:c>
      <x:c r="E309" s="16" t="str">
        <x:v>ШТ</x:v>
      </x:c>
      <x:c r="F309" s="21" t="n">
        <x:v>1</x:v>
      </x:c>
      <x:c r="G309" s="17" t="n">
        <x:v>524.2096</x:v>
      </x:c>
      <x:c r="H309" s="17" t="n">
        <x:f>G309*F309</x:f>
        <x:v>524.2096</x:v>
      </x:c>
      <x:c r="I309" s="22" t="str">
        <x:f>HYPERLINK("https://etp-aktiv.ru/catalog/materialy/podshipniki/2000454029-U411/","Открыть позицию")</x:f>
        <x:v>Открыть позицию</x:v>
      </x:c>
    </x:row>
    <x:row r="310" ht="28" customHeight="1">
      <x:c r="A310" s="16" t="str">
        <x:v>Ново-Кемеровская ТЭЦ</x:v>
      </x:c>
      <x:c r="B310" s="16" t="str">
        <x:v>2000137679-U411</x:v>
      </x:c>
      <x:c r="C310" s="16" t="str">
        <x:v>ПОДШИПНИК 13536</x:v>
      </x:c>
      <x:c r="D310" s="16" t="str">
        <x:v>Подшипники</x:v>
      </x:c>
      <x:c r="E310" s="16" t="str">
        <x:v>ШТ</x:v>
      </x:c>
      <x:c r="F310" s="21" t="n">
        <x:v>2</x:v>
      </x:c>
      <x:c r="G310" s="17" t="n">
        <x:v>10098.5744</x:v>
      </x:c>
      <x:c r="H310" s="17" t="n">
        <x:f>G310*F310</x:f>
        <x:v>20197.1488</x:v>
      </x:c>
      <x:c r="I310" s="22" t="str">
        <x:f>HYPERLINK("https://etp-aktiv.ru/catalog/materialy/podshipniki/2000137679-U411/","Открыть позицию")</x:f>
        <x:v>Открыть позицию</x:v>
      </x:c>
    </x:row>
    <x:row r="311" ht="28" customHeight="1">
      <x:c r="A311" s="16" t="str">
        <x:v>Ново-Кемеровская ТЭЦ</x:v>
      </x:c>
      <x:c r="B311" s="16" t="str">
        <x:v>2000116439-U411</x:v>
      </x:c>
      <x:c r="C311" s="16" t="str">
        <x:v>ПОДШИПНИК 1608</x:v>
      </x:c>
      <x:c r="D311" s="16" t="str">
        <x:v>Подшипники</x:v>
      </x:c>
      <x:c r="E311" s="16" t="str">
        <x:v>ШТ</x:v>
      </x:c>
      <x:c r="F311" s="21" t="n">
        <x:v>7</x:v>
      </x:c>
      <x:c r="G311" s="17" t="n">
        <x:v>212.63379999999998</x:v>
      </x:c>
      <x:c r="H311" s="17" t="n">
        <x:f>G311*F311</x:f>
        <x:v>1488.4365999999998</x:v>
      </x:c>
      <x:c r="I311" s="22" t="str">
        <x:f>HYPERLINK("https://etp-aktiv.ru/catalog/materialy/podshipniki/2000116439-U411/","Открыть позицию")</x:f>
        <x:v>Открыть позицию</x:v>
      </x:c>
    </x:row>
    <x:row r="312" ht="28" customHeight="1">
      <x:c r="A312" s="16" t="str">
        <x:v>Ново-Кемеровская ТЭЦ</x:v>
      </x:c>
      <x:c r="B312" s="16" t="str">
        <x:v>2000997742-U411</x:v>
      </x:c>
      <x:c r="C312" s="16" t="str">
        <x:v>ПОДШИПНИК 1608 Ш2</x:v>
      </x:c>
      <x:c r="D312" s="16" t="str">
        <x:v>Подшипники</x:v>
      </x:c>
      <x:c r="E312" s="16" t="str">
        <x:v>ШТ</x:v>
      </x:c>
      <x:c r="F312" s="21" t="n">
        <x:v>8</x:v>
      </x:c>
      <x:c r="G312" s="17" t="n">
        <x:v>449.997</x:v>
      </x:c>
      <x:c r="H312" s="17" t="n">
        <x:f>G312*F312</x:f>
        <x:v>3599.976</x:v>
      </x:c>
      <x:c r="I312" s="22" t="str">
        <x:f>HYPERLINK("https://etp-aktiv.ru/catalog/materialy/podshipniki/2000997742-U411/","Открыть позицию")</x:f>
        <x:v>Открыть позицию</x:v>
      </x:c>
    </x:row>
    <x:row r="313" ht="28" customHeight="1">
      <x:c r="A313" s="16" t="str">
        <x:v>Ново-Кемеровская ТЭЦ</x:v>
      </x:c>
      <x:c r="B313" s="16" t="str">
        <x:v>2000115321-U411</x:v>
      </x:c>
      <x:c r="C313" s="16" t="str">
        <x:v>ПОДШИПНИК 180305</x:v>
      </x:c>
      <x:c r="D313" s="16" t="str">
        <x:v>Подшипники</x:v>
      </x:c>
      <x:c r="E313" s="16" t="str">
        <x:v>ШТ</x:v>
      </x:c>
      <x:c r="F313" s="21" t="n">
        <x:v>92</x:v>
      </x:c>
      <x:c r="G313" s="17" t="n">
        <x:v>50.7886</x:v>
      </x:c>
      <x:c r="H313" s="17" t="n">
        <x:f>G313*F313</x:f>
        <x:v>4672.5512</x:v>
      </x:c>
      <x:c r="I313" s="22" t="str">
        <x:f>HYPERLINK("https://etp-aktiv.ru/catalog/materialy/podshipniki/2000115321-U411/","Открыть позицию")</x:f>
        <x:v>Открыть позицию</x:v>
      </x:c>
    </x:row>
    <x:row r="314" ht="28" customHeight="1">
      <x:c r="A314" s="16" t="str">
        <x:v>Ново-Кемеровская ТЭЦ</x:v>
      </x:c>
      <x:c r="B314" s="16" t="str">
        <x:v>2000995203-U411</x:v>
      </x:c>
      <x:c r="C314" s="16" t="str">
        <x:v>ПОДШИПНИК 180312 Ш2</x:v>
      </x:c>
      <x:c r="D314" s="16" t="str">
        <x:v>Подшипники</x:v>
      </x:c>
      <x:c r="E314" s="16" t="str">
        <x:v>ШТ</x:v>
      </x:c>
      <x:c r="F314" s="21" t="n">
        <x:v>2</x:v>
      </x:c>
      <x:c r="G314" s="17" t="n">
        <x:v>282.0518</x:v>
      </x:c>
      <x:c r="H314" s="17" t="n">
        <x:f>G314*F314</x:f>
        <x:v>564.1036</x:v>
      </x:c>
      <x:c r="I314" s="22" t="str">
        <x:f>HYPERLINK("https://etp-aktiv.ru/catalog/materialy/podshipniki/2000995203-U411/","Открыть позицию")</x:f>
        <x:v>Открыть позицию</x:v>
      </x:c>
    </x:row>
    <x:row r="315" ht="28" customHeight="1">
      <x:c r="A315" s="16" t="str">
        <x:v>Ново-Кемеровская ТЭЦ</x:v>
      </x:c>
      <x:c r="B315" s="16" t="str">
        <x:v>2000116350-U411</x:v>
      </x:c>
      <x:c r="C315" s="16" t="str">
        <x:v>ПОДШИПНИК 209</x:v>
      </x:c>
      <x:c r="D315" s="16" t="str">
        <x:v>Подшипники</x:v>
      </x:c>
      <x:c r="E315" s="16" t="str">
        <x:v>ШТ</x:v>
      </x:c>
      <x:c r="F315" s="21" t="n">
        <x:v>1</x:v>
      </x:c>
      <x:c r="G315" s="17" t="n">
        <x:v>45.37179999999999</x:v>
      </x:c>
      <x:c r="H315" s="17" t="n">
        <x:f>G315*F315</x:f>
        <x:v>45.37179999999999</x:v>
      </x:c>
      <x:c r="I315" s="22" t="str">
        <x:f>HYPERLINK("https://etp-aktiv.ru/catalog/materialy/podshipniki/2000116350-U411/","Открыть позицию")</x:f>
        <x:v>Открыть позицию</x:v>
      </x:c>
    </x:row>
    <x:row r="316" ht="28" customHeight="1">
      <x:c r="A316" s="16" t="str">
        <x:v>Ново-Кемеровская ТЭЦ</x:v>
      </x:c>
      <x:c r="B316" s="16" t="str">
        <x:v>2000116434-U411</x:v>
      </x:c>
      <x:c r="C316" s="16" t="str">
        <x:v>ПОДШИПНИК 214</x:v>
      </x:c>
      <x:c r="D316" s="16" t="str">
        <x:v>Подшипники</x:v>
      </x:c>
      <x:c r="E316" s="16" t="str">
        <x:v>ШТ</x:v>
      </x:c>
      <x:c r="F316" s="21" t="n">
        <x:v>0</x:v>
      </x:c>
      <x:c r="G316" s="17" t="n">
        <x:v>126.27</x:v>
      </x:c>
      <x:c r="H316" s="17" t="n">
        <x:f>G316*F316</x:f>
        <x:v>0</x:v>
      </x:c>
      <x:c r="I316" s="22" t="str">
        <x:f>HYPERLINK("https://etp-aktiv.ru/catalog/materialy/podshipniki/2000116434-U411/","Открыть позицию")</x:f>
        <x:v>Открыть позицию</x:v>
      </x:c>
    </x:row>
    <x:row r="317" ht="28" customHeight="1">
      <x:c r="A317" s="16" t="str">
        <x:v>Ново-Кемеровская ТЭЦ</x:v>
      </x:c>
      <x:c r="B317" s="16" t="str">
        <x:v>2000116549-U411</x:v>
      </x:c>
      <x:c r="C317" s="16" t="str">
        <x:v>ПОДШИПНИК 221</x:v>
      </x:c>
      <x:c r="D317" s="16" t="str">
        <x:v>Подшипники</x:v>
      </x:c>
      <x:c r="E317" s="16" t="str">
        <x:v>ШТ</x:v>
      </x:c>
      <x:c r="F317" s="21" t="n">
        <x:v>2</x:v>
      </x:c>
      <x:c r="G317" s="17" t="n">
        <x:v>458.2564</x:v>
      </x:c>
      <x:c r="H317" s="17" t="n">
        <x:f>G317*F317</x:f>
        <x:v>916.5128</x:v>
      </x:c>
      <x:c r="I317" s="22" t="str">
        <x:f>HYPERLINK("https://etp-aktiv.ru/catalog/materialy/podshipniki/2000116549-U411/","Открыть позицию")</x:f>
        <x:v>Открыть позицию</x:v>
      </x:c>
    </x:row>
    <x:row r="318" ht="28" customHeight="1">
      <x:c r="A318" s="16" t="str">
        <x:v>Ново-Кемеровская ТЭЦ</x:v>
      </x:c>
      <x:c r="B318" s="16" t="str">
        <x:v>2000034344-U411</x:v>
      </x:c>
      <x:c r="C318" s="16" t="str">
        <x:v>ПОДШИПНИК 22236</x:v>
      </x:c>
      <x:c r="D318" s="16" t="str">
        <x:v>Подшипники</x:v>
      </x:c>
      <x:c r="E318" s="16" t="str">
        <x:v>ШТ</x:v>
      </x:c>
      <x:c r="F318" s="21" t="n">
        <x:v>1</x:v>
      </x:c>
      <x:c r="G318" s="17" t="n">
        <x:v>13591.568599999999</x:v>
      </x:c>
      <x:c r="H318" s="17" t="n">
        <x:f>G318*F318</x:f>
        <x:v>13591.568599999999</x:v>
      </x:c>
      <x:c r="I318" s="22" t="str">
        <x:f>HYPERLINK("https://etp-aktiv.ru/catalog/materialy/podshipniki/2000034344-U411/","Открыть позицию")</x:f>
        <x:v>Открыть позицию</x:v>
      </x:c>
    </x:row>
    <x:row r="319" ht="28" customHeight="1">
      <x:c r="A319" s="16" t="str">
        <x:v>Ново-Кемеровская ТЭЦ</x:v>
      </x:c>
      <x:c r="B319" s="16" t="str">
        <x:v>2000116523-U411</x:v>
      </x:c>
      <x:c r="C319" s="16" t="str">
        <x:v>ПОДШИПНИК 2307</x:v>
      </x:c>
      <x:c r="D319" s="16" t="str">
        <x:v>Подшипники</x:v>
      </x:c>
      <x:c r="E319" s="16" t="str">
        <x:v>ШТ</x:v>
      </x:c>
      <x:c r="F319" s="21" t="n">
        <x:v>1</x:v>
      </x:c>
      <x:c r="G319" s="17" t="n">
        <x:v>111.1908</x:v>
      </x:c>
      <x:c r="H319" s="17" t="n">
        <x:f>G319*F319</x:f>
        <x:v>111.1908</x:v>
      </x:c>
      <x:c r="I319" s="22" t="str">
        <x:f>HYPERLINK("https://etp-aktiv.ru/catalog/materialy/podshipniki/2000116523-U411/","Открыть позицию")</x:f>
        <x:v>Открыть позицию</x:v>
      </x:c>
    </x:row>
    <x:row r="320" ht="28" customHeight="1">
      <x:c r="A320" s="16" t="str">
        <x:v>Ново-Кемеровская ТЭЦ</x:v>
      </x:c>
      <x:c r="B320" s="16" t="str">
        <x:v>2000116609-U411</x:v>
      </x:c>
      <x:c r="C320" s="16" t="str">
        <x:v>ПОДШИПНИК 2313</x:v>
      </x:c>
      <x:c r="D320" s="16" t="str">
        <x:v>Подшипники</x:v>
      </x:c>
      <x:c r="E320" s="16" t="str">
        <x:v>ШТ</x:v>
      </x:c>
      <x:c r="F320" s="21" t="n">
        <x:v>2</x:v>
      </x:c>
      <x:c r="G320" s="17" t="n">
        <x:v>993.5314</x:v>
      </x:c>
      <x:c r="H320" s="17" t="n">
        <x:f>G320*F320</x:f>
        <x:v>1987.0628</x:v>
      </x:c>
      <x:c r="I320" s="22" t="str">
        <x:f>HYPERLINK("https://etp-aktiv.ru/catalog/materialy/podshipniki/2000116609-U411/","Открыть позицию")</x:f>
        <x:v>Открыть позицию</x:v>
      </x:c>
    </x:row>
    <x:row r="321" ht="28" customHeight="1">
      <x:c r="A321" s="16" t="str">
        <x:v>Ново-Кемеровская ТЭЦ</x:v>
      </x:c>
      <x:c r="B321" s="16" t="str">
        <x:v>2000116559-U411</x:v>
      </x:c>
      <x:c r="C321" s="16" t="str">
        <x:v>ПОДШИПНИК 2314</x:v>
      </x:c>
      <x:c r="D321" s="16" t="str">
        <x:v>Подшипники</x:v>
      </x:c>
      <x:c r="E321" s="16" t="str">
        <x:v>ШТ</x:v>
      </x:c>
      <x:c r="F321" s="21" t="n">
        <x:v>3</x:v>
      </x:c>
      <x:c r="G321" s="17" t="n">
        <x:v>808.6892</x:v>
      </x:c>
      <x:c r="H321" s="17" t="n">
        <x:f>G321*F321</x:f>
        <x:v>2426.0676000000003</x:v>
      </x:c>
      <x:c r="I321" s="22" t="str">
        <x:f>HYPERLINK("https://etp-aktiv.ru/catalog/materialy/podshipniki/2000116559-U411/","Открыть позицию")</x:f>
        <x:v>Открыть позицию</x:v>
      </x:c>
    </x:row>
    <x:row r="322" ht="28" customHeight="1">
      <x:c r="A322" s="16" t="str">
        <x:v>Ново-Кемеровская ТЭЦ</x:v>
      </x:c>
      <x:c r="B322" s="16" t="str">
        <x:v>2000222723-U411</x:v>
      </x:c>
      <x:c r="C322" s="16" t="str">
        <x:v>ПОДШИПНИК 2314К1</x:v>
      </x:c>
      <x:c r="D322" s="16" t="str">
        <x:v>Подшипники</x:v>
      </x:c>
      <x:c r="E322" s="16" t="str">
        <x:v>ШТ</x:v>
      </x:c>
      <x:c r="F322" s="21" t="n">
        <x:v>3</x:v>
      </x:c>
      <x:c r="G322" s="17" t="n">
        <x:v>680.0768</x:v>
      </x:c>
      <x:c r="H322" s="17" t="n">
        <x:f>G322*F322</x:f>
        <x:v>2040.2304000000001</x:v>
      </x:c>
      <x:c r="I322" s="22" t="str">
        <x:f>HYPERLINK("https://etp-aktiv.ru/catalog/materialy/podshipniki/2000222723-U411/","Открыть позицию")</x:f>
        <x:v>Открыть позицию</x:v>
      </x:c>
    </x:row>
    <x:row r="323" ht="28" customHeight="1">
      <x:c r="A323" s="16" t="str">
        <x:v>Ново-Кемеровская ТЭЦ</x:v>
      </x:c>
      <x:c r="B323" s="16" t="str">
        <x:v>2000116585-U411</x:v>
      </x:c>
      <x:c r="C323" s="16" t="str">
        <x:v>ПОДШИПНИК 2317</x:v>
      </x:c>
      <x:c r="D323" s="16" t="str">
        <x:v>Подшипники</x:v>
      </x:c>
      <x:c r="E323" s="16" t="str">
        <x:v>ШТ</x:v>
      </x:c>
      <x:c r="F323" s="21" t="n">
        <x:v>5</x:v>
      </x:c>
      <x:c r="G323" s="17" t="n">
        <x:v>1906.6403999999998</x:v>
      </x:c>
      <x:c r="H323" s="17" t="n">
        <x:f>G323*F323</x:f>
        <x:v>9533.202</x:v>
      </x:c>
      <x:c r="I323" s="22" t="str">
        <x:f>HYPERLINK("https://etp-aktiv.ru/catalog/materialy/podshipniki/2000116585-U411/","Открыть позицию")</x:f>
        <x:v>Открыть позицию</x:v>
      </x:c>
    </x:row>
    <x:row r="324" ht="28" customHeight="1">
      <x:c r="A324" s="16" t="str">
        <x:v>Ново-Кемеровская ТЭЦ</x:v>
      </x:c>
      <x:c r="B324" s="16" t="str">
        <x:v>2000556568-U411</x:v>
      </x:c>
      <x:c r="C324" s="16" t="str">
        <x:v>ПОДШИПНИК 3056205</x:v>
      </x:c>
      <x:c r="D324" s="16" t="str">
        <x:v>Подшипники</x:v>
      </x:c>
      <x:c r="E324" s="16" t="str">
        <x:v>ШТ</x:v>
      </x:c>
      <x:c r="F324" s="21" t="n">
        <x:v>1</x:v>
      </x:c>
      <x:c r="G324" s="17" t="n">
        <x:v>57.1936</x:v>
      </x:c>
      <x:c r="H324" s="17" t="n">
        <x:f>G324*F324</x:f>
        <x:v>57.1936</x:v>
      </x:c>
      <x:c r="I324" s="22" t="str">
        <x:f>HYPERLINK("https://etp-aktiv.ru/catalog/materialy/podshipniki/2000556568-U411/","Открыть позицию")</x:f>
        <x:v>Открыть позицию</x:v>
      </x:c>
    </x:row>
    <x:row r="325" ht="28" customHeight="1">
      <x:c r="A325" s="16" t="str">
        <x:v>Ново-Кемеровская ТЭЦ</x:v>
      </x:c>
      <x:c r="B325" s="16" t="str">
        <x:v>2000997785-U411</x:v>
      </x:c>
      <x:c r="C325" s="16" t="str">
        <x:v>ПОДШИПНИК 306 Ш2</x:v>
      </x:c>
      <x:c r="D325" s="16" t="str">
        <x:v>Подшипники</x:v>
      </x:c>
      <x:c r="E325" s="16" t="str">
        <x:v>ШТ</x:v>
      </x:c>
      <x:c r="F325" s="21" t="n">
        <x:v>13</x:v>
      </x:c>
      <x:c r="G325" s="17" t="n">
        <x:v>75.4448</x:v>
      </x:c>
      <x:c r="H325" s="17" t="n">
        <x:f>G325*F325</x:f>
        <x:v>980.7824</x:v>
      </x:c>
      <x:c r="I325" s="22" t="str">
        <x:f>HYPERLINK("https://etp-aktiv.ru/catalog/materialy/podshipniki/2000997785-U411/","Открыть позицию")</x:f>
        <x:v>Открыть позицию</x:v>
      </x:c>
    </x:row>
    <x:row r="326" ht="28" customHeight="1">
      <x:c r="A326" s="16" t="str">
        <x:v>Ново-Кемеровская ТЭЦ</x:v>
      </x:c>
      <x:c r="B326" s="16" t="str">
        <x:v>2000127195-U411</x:v>
      </x:c>
      <x:c r="C326" s="16" t="str">
        <x:v>ПОДШИПНИК 3086313</x:v>
      </x:c>
      <x:c r="D326" s="16" t="str">
        <x:v>Подшипники</x:v>
      </x:c>
      <x:c r="E326" s="16" t="str">
        <x:v>ШТ</x:v>
      </x:c>
      <x:c r="F326" s="21" t="n">
        <x:v>19</x:v>
      </x:c>
      <x:c r="G326" s="17" t="n">
        <x:v>1568.0659999999998</x:v>
      </x:c>
      <x:c r="H326" s="17" t="n">
        <x:f>G326*F326</x:f>
        <x:v>29793.253999999997</x:v>
      </x:c>
      <x:c r="I326" s="22" t="str">
        <x:f>HYPERLINK("https://etp-aktiv.ru/catalog/materialy/podshipniki/2000127195-U411/","Открыть позицию")</x:f>
        <x:v>Открыть позицию</x:v>
      </x:c>
    </x:row>
    <x:row r="327" ht="28" customHeight="1">
      <x:c r="A327" s="16" t="str">
        <x:v>Ново-Кемеровская ТЭЦ</x:v>
      </x:c>
      <x:c r="B327" s="16" t="str">
        <x:v>2000116479-U411</x:v>
      </x:c>
      <x:c r="C327" s="16" t="str">
        <x:v>ПОДШИПНИК 313</x:v>
      </x:c>
      <x:c r="D327" s="16" t="str">
        <x:v>Подшипники</x:v>
      </x:c>
      <x:c r="E327" s="16" t="str">
        <x:v>ШТ</x:v>
      </x:c>
      <x:c r="F327" s="21" t="n">
        <x:v>4</x:v>
      </x:c>
      <x:c r="G327" s="17" t="n">
        <x:v>355.5446</x:v>
      </x:c>
      <x:c r="H327" s="17" t="n">
        <x:f>G327*F327</x:f>
        <x:v>1422.1784</x:v>
      </x:c>
      <x:c r="I327" s="22" t="str">
        <x:f>HYPERLINK("https://etp-aktiv.ru/catalog/materialy/podshipniki/2000116479-U411/","Открыть позицию")</x:f>
        <x:v>Открыть позицию</x:v>
      </x:c>
    </x:row>
    <x:row r="328" ht="28" customHeight="1">
      <x:c r="A328" s="16" t="str">
        <x:v>Ново-Кемеровская ТЭЦ</x:v>
      </x:c>
      <x:c r="B328" s="16" t="str">
        <x:v>2000997811-U411</x:v>
      </x:c>
      <x:c r="C328" s="16" t="str">
        <x:v>ПОДШИПНИК 318 Ш2</x:v>
      </x:c>
      <x:c r="D328" s="16" t="str">
        <x:v>Подшипники</x:v>
      </x:c>
      <x:c r="E328" s="16" t="str">
        <x:v>ШТ</x:v>
      </x:c>
      <x:c r="F328" s="21" t="n">
        <x:v>8</x:v>
      </x:c>
      <x:c r="G328" s="17" t="n">
        <x:v>937.0698</x:v>
      </x:c>
      <x:c r="H328" s="17" t="n">
        <x:f>G328*F328</x:f>
        <x:v>7496.5584</x:v>
      </x:c>
      <x:c r="I328" s="22" t="str">
        <x:f>HYPERLINK("https://etp-aktiv.ru/catalog/materialy/podshipniki/2000997811-U411/","Открыть позицию")</x:f>
        <x:v>Открыть позицию</x:v>
      </x:c>
    </x:row>
    <x:row r="329" ht="28" customHeight="1">
      <x:c r="A329" s="16" t="str">
        <x:v>Ново-Кемеровская ТЭЦ</x:v>
      </x:c>
      <x:c r="B329" s="16" t="str">
        <x:v>2000012885-U411</x:v>
      </x:c>
      <x:c r="C329" s="16" t="str">
        <x:v>ПОДШИПНИК 3182132</x:v>
      </x:c>
      <x:c r="D329" s="16" t="str">
        <x:v>Подшипники</x:v>
      </x:c>
      <x:c r="E329" s="16" t="str">
        <x:v>ШТ</x:v>
      </x:c>
      <x:c r="F329" s="21" t="n">
        <x:v>0</x:v>
      </x:c>
      <x:c r="G329" s="17" t="n">
        <x:v>3880.3686000000002</x:v>
      </x:c>
      <x:c r="H329" s="17" t="n">
        <x:f>G329*F329</x:f>
        <x:v>0</x:v>
      </x:c>
      <x:c r="I329" s="22" t="str">
        <x:f>HYPERLINK("https://etp-aktiv.ru/catalog/materialy/podshipniki/2000012885-U411/","Открыть позицию")</x:f>
        <x:v>Открыть позицию</x:v>
      </x:c>
    </x:row>
    <x:row r="330" ht="28" customHeight="1">
      <x:c r="A330" s="16" t="str">
        <x:v>Ново-Кемеровская ТЭЦ</x:v>
      </x:c>
      <x:c r="B330" s="16" t="str">
        <x:v>2000034432-U411</x:v>
      </x:c>
      <x:c r="C330" s="16" t="str">
        <x:v>ПОДШИПНИК 32213</x:v>
      </x:c>
      <x:c r="D330" s="16" t="str">
        <x:v>Подшипники</x:v>
      </x:c>
      <x:c r="E330" s="16" t="str">
        <x:v>ШТ</x:v>
      </x:c>
      <x:c r="F330" s="21" t="n">
        <x:v>1</x:v>
      </x:c>
      <x:c r="G330" s="17" t="n">
        <x:v>356.84999999999997</x:v>
      </x:c>
      <x:c r="H330" s="17" t="n">
        <x:f>G330*F330</x:f>
        <x:v>356.84999999999997</x:v>
      </x:c>
      <x:c r="I330" s="22" t="str">
        <x:f>HYPERLINK("https://etp-aktiv.ru/catalog/materialy/podshipniki/2000034432-U411/","Открыть позицию")</x:f>
        <x:v>Открыть позицию</x:v>
      </x:c>
    </x:row>
    <x:row r="331" ht="28" customHeight="1">
      <x:c r="A331" s="16" t="str">
        <x:v>Ново-Кемеровская ТЭЦ</x:v>
      </x:c>
      <x:c r="B331" s="16" t="str">
        <x:v>2000556604-U411</x:v>
      </x:c>
      <x:c r="C331" s="16" t="str">
        <x:v>ПОДШИПНИК 32314 Л</x:v>
      </x:c>
      <x:c r="D331" s="16" t="str">
        <x:v>Подшипники</x:v>
      </x:c>
      <x:c r="E331" s="16" t="str">
        <x:v>ШТ</x:v>
      </x:c>
      <x:c r="F331" s="21" t="n">
        <x:v>3</x:v>
      </x:c>
      <x:c r="G331" s="17" t="n">
        <x:v>465.9668</x:v>
      </x:c>
      <x:c r="H331" s="17" t="n">
        <x:f>G331*F331</x:f>
        <x:v>1397.9004</x:v>
      </x:c>
      <x:c r="I331" s="22" t="str">
        <x:f>HYPERLINK("https://etp-aktiv.ru/catalog/materialy/podshipniki/2000556604-U411/","Открыть позицию")</x:f>
        <x:v>Открыть позицию</x:v>
      </x:c>
    </x:row>
    <x:row r="332" ht="28" customHeight="1">
      <x:c r="A332" s="16" t="str">
        <x:v>Ново-Кемеровская ТЭЦ</x:v>
      </x:c>
      <x:c r="B332" s="16" t="str">
        <x:v>2000116788-U411</x:v>
      </x:c>
      <x:c r="C332" s="16" t="str">
        <x:v>ПОДШИПНИК 346310</x:v>
      </x:c>
      <x:c r="D332" s="16" t="str">
        <x:v>Подшипники</x:v>
      </x:c>
      <x:c r="E332" s="16" t="str">
        <x:v>ШТ</x:v>
      </x:c>
      <x:c r="F332" s="21" t="n">
        <x:v>1</x:v>
      </x:c>
      <x:c r="G332" s="17" t="n">
        <x:v>416.325</x:v>
      </x:c>
      <x:c r="H332" s="17" t="n">
        <x:f>G332*F332</x:f>
        <x:v>416.325</x:v>
      </x:c>
      <x:c r="I332" s="22" t="str">
        <x:f>HYPERLINK("https://etp-aktiv.ru/catalog/materialy/podshipniki/2000116788-U411/","Открыть позицию")</x:f>
        <x:v>Открыть позицию</x:v>
      </x:c>
    </x:row>
    <x:row r="333" ht="28" customHeight="1">
      <x:c r="A333" s="16" t="str">
        <x:v>Ново-Кемеровская ТЭЦ</x:v>
      </x:c>
      <x:c r="B333" s="16" t="str">
        <x:v>2000011761-U411</x:v>
      </x:c>
      <x:c r="C333" s="16" t="str">
        <x:v>ПОДШИПНИК 3534</x:v>
      </x:c>
      <x:c r="D333" s="16" t="str">
        <x:v>Подшипники</x:v>
      </x:c>
      <x:c r="E333" s="16" t="str">
        <x:v>ШТ</x:v>
      </x:c>
      <x:c r="F333" s="21" t="n">
        <x:v>4</x:v>
      </x:c>
      <x:c r="G333" s="17" t="n">
        <x:v>6586.0602</x:v>
      </x:c>
      <x:c r="H333" s="17" t="n">
        <x:f>G333*F333</x:f>
        <x:v>26344.2408</x:v>
      </x:c>
      <x:c r="I333" s="22" t="str">
        <x:f>HYPERLINK("https://etp-aktiv.ru/catalog/materialy/podshipniki/2000011761-U411/","Открыть позицию")</x:f>
        <x:v>Открыть позицию</x:v>
      </x:c>
    </x:row>
    <x:row r="334" ht="28" customHeight="1">
      <x:c r="A334" s="16" t="str">
        <x:v>Ново-Кемеровская ТЭЦ</x:v>
      </x:c>
      <x:c r="B334" s="16" t="str">
        <x:v>2000226084-U411</x:v>
      </x:c>
      <x:c r="C334" s="16" t="str">
        <x:v>ПОДШИПНИК 3608Л</x:v>
      </x:c>
      <x:c r="D334" s="16" t="str">
        <x:v>Подшипники</x:v>
      </x:c>
      <x:c r="E334" s="16" t="str">
        <x:v>ШТ</x:v>
      </x:c>
      <x:c r="F334" s="21" t="n">
        <x:v>1</x:v>
      </x:c>
      <x:c r="G334" s="17" t="n">
        <x:v>417.057</x:v>
      </x:c>
      <x:c r="H334" s="17" t="n">
        <x:f>G334*F334</x:f>
        <x:v>417.057</x:v>
      </x:c>
      <x:c r="I334" s="22" t="str">
        <x:f>HYPERLINK("https://etp-aktiv.ru/catalog/materialy/podshipniki/2000226084-U411/","Открыть позицию")</x:f>
        <x:v>Открыть позицию</x:v>
      </x:c>
    </x:row>
    <x:row r="335" ht="28" customHeight="1">
      <x:c r="A335" s="16" t="str">
        <x:v>Ново-Кемеровская ТЭЦ</x:v>
      </x:c>
      <x:c r="B335" s="16" t="str">
        <x:v>2000116599-U411</x:v>
      </x:c>
      <x:c r="C335" s="16" t="str">
        <x:v>ПОДШИПНИК 3610</x:v>
      </x:c>
      <x:c r="D335" s="16" t="str">
        <x:v>Подшипники</x:v>
      </x:c>
      <x:c r="E335" s="16" t="str">
        <x:v>ШТ</x:v>
      </x:c>
      <x:c r="F335" s="21" t="n">
        <x:v>6</x:v>
      </x:c>
      <x:c r="G335" s="17" t="n">
        <x:v>425.47499999999997</x:v>
      </x:c>
      <x:c r="H335" s="17" t="n">
        <x:f>G335*F335</x:f>
        <x:v>2552.85</x:v>
      </x:c>
      <x:c r="I335" s="22" t="str">
        <x:f>HYPERLINK("https://etp-aktiv.ru/catalog/materialy/podshipniki/2000116599-U411/","Открыть позицию")</x:f>
        <x:v>Открыть позицию</x:v>
      </x:c>
    </x:row>
    <x:row r="336" ht="28" customHeight="1">
      <x:c r="A336" s="16" t="str">
        <x:v>Ново-Кемеровская ТЭЦ</x:v>
      </x:c>
      <x:c r="B336" s="16" t="str">
        <x:v>2000556537-U411</x:v>
      </x:c>
      <x:c r="C336" s="16" t="str">
        <x:v>ПОДШИПНИК 36215</x:v>
      </x:c>
      <x:c r="D336" s="16" t="str">
        <x:v>Подшипники</x:v>
      </x:c>
      <x:c r="E336" s="16" t="str">
        <x:v>ШТ</x:v>
      </x:c>
      <x:c r="F336" s="21" t="n">
        <x:v>5</x:v>
      </x:c>
      <x:c r="G336" s="17" t="n">
        <x:v>457.5</x:v>
      </x:c>
      <x:c r="H336" s="17" t="n">
        <x:f>G336*F336</x:f>
        <x:v>2287.5</x:v>
      </x:c>
      <x:c r="I336" s="22" t="str">
        <x:f>HYPERLINK("https://etp-aktiv.ru/catalog/materialy/podshipniki/2000556537-U411/","Открыть позицию")</x:f>
        <x:v>Открыть позицию</x:v>
      </x:c>
    </x:row>
    <x:row r="337" ht="28" customHeight="1">
      <x:c r="A337" s="16" t="str">
        <x:v>Ново-Кемеровская ТЭЦ</x:v>
      </x:c>
      <x:c r="B337" s="16" t="str">
        <x:v>2000116753-U411</x:v>
      </x:c>
      <x:c r="C337" s="16" t="str">
        <x:v>ПОДШИПНИК 3626</x:v>
      </x:c>
      <x:c r="D337" s="16" t="str">
        <x:v>Подшипники</x:v>
      </x:c>
      <x:c r="E337" s="16" t="str">
        <x:v>ШТ</x:v>
      </x:c>
      <x:c r="F337" s="21" t="n">
        <x:v>1</x:v>
      </x:c>
      <x:c r="G337" s="17" t="n">
        <x:v>10984.038199999999</x:v>
      </x:c>
      <x:c r="H337" s="17" t="n">
        <x:f>G337*F337</x:f>
        <x:v>10984.038199999999</x:v>
      </x:c>
      <x:c r="I337" s="22" t="str">
        <x:f>HYPERLINK("https://etp-aktiv.ru/catalog/materialy/podshipniki/2000116753-U411/","Открыть позицию")</x:f>
        <x:v>Открыть позицию</x:v>
      </x:c>
    </x:row>
    <x:row r="338" ht="28" customHeight="1">
      <x:c r="A338" s="16" t="str">
        <x:v>Ново-Кемеровская ТЭЦ</x:v>
      </x:c>
      <x:c r="B338" s="16" t="str">
        <x:v>2000115359-U411</x:v>
      </x:c>
      <x:c r="C338" s="16" t="str">
        <x:v>ПОДШИПНИК 3630</x:v>
      </x:c>
      <x:c r="D338" s="16" t="str">
        <x:v>Подшипники</x:v>
      </x:c>
      <x:c r="E338" s="16" t="str">
        <x:v>ШТ</x:v>
      </x:c>
      <x:c r="F338" s="21" t="n">
        <x:v>3</x:v>
      </x:c>
      <x:c r="G338" s="17" t="n">
        <x:v>7851.785800000001</x:v>
      </x:c>
      <x:c r="H338" s="17" t="n">
        <x:f>G338*F338</x:f>
        <x:v>23555.3574</x:v>
      </x:c>
      <x:c r="I338" s="22" t="str">
        <x:f>HYPERLINK("https://etp-aktiv.ru/catalog/materialy/podshipniki/2000115359-U411/","Открыть позицию")</x:f>
        <x:v>Открыть позицию</x:v>
      </x:c>
    </x:row>
    <x:row r="339" ht="28" customHeight="1">
      <x:c r="A339" s="16" t="str">
        <x:v>Ново-Кемеровская ТЭЦ</x:v>
      </x:c>
      <x:c r="B339" s="16" t="str">
        <x:v>2000226101-U411</x:v>
      </x:c>
      <x:c r="C339" s="16" t="str">
        <x:v>ПОДШИПНИК 36313</x:v>
      </x:c>
      <x:c r="D339" s="16" t="str">
        <x:v>Подшипники</x:v>
      </x:c>
      <x:c r="E339" s="16" t="str">
        <x:v>ШТ</x:v>
      </x:c>
      <x:c r="F339" s="21" t="n">
        <x:v>6</x:v>
      </x:c>
      <x:c r="G339" s="17" t="n">
        <x:v>1531.1122</x:v>
      </x:c>
      <x:c r="H339" s="17" t="n">
        <x:f>G339*F339</x:f>
        <x:v>9186.673200000001</x:v>
      </x:c>
      <x:c r="I339" s="22" t="str">
        <x:f>HYPERLINK("https://etp-aktiv.ru/catalog/materialy/podshipniki/2000226101-U411/","Открыть позицию")</x:f>
        <x:v>Открыть позицию</x:v>
      </x:c>
    </x:row>
    <x:row r="340" ht="28" customHeight="1">
      <x:c r="A340" s="16" t="str">
        <x:v>Ново-Кемеровская ТЭЦ</x:v>
      </x:c>
      <x:c r="B340" s="16" t="str">
        <x:v>2000127305-U411</x:v>
      </x:c>
      <x:c r="C340" s="16" t="str">
        <x:v>ПОДШИПНИК 36318</x:v>
      </x:c>
      <x:c r="D340" s="16" t="str">
        <x:v>Подшипники</x:v>
      </x:c>
      <x:c r="E340" s="16" t="str">
        <x:v>ШТ</x:v>
      </x:c>
      <x:c r="F340" s="21" t="n">
        <x:v>1</x:v>
      </x:c>
      <x:c r="G340" s="17" t="n">
        <x:v>2628.1483999999996</x:v>
      </x:c>
      <x:c r="H340" s="17" t="n">
        <x:f>G340*F340</x:f>
        <x:v>2628.1483999999996</x:v>
      </x:c>
      <x:c r="I340" s="22" t="str">
        <x:f>HYPERLINK("https://etp-aktiv.ru/catalog/materialy/podshipniki/2000127305-U411/","Открыть позицию")</x:f>
        <x:v>Открыть позицию</x:v>
      </x:c>
    </x:row>
    <x:row r="341" ht="28" customHeight="1">
      <x:c r="A341" s="16" t="str">
        <x:v>Ново-Кемеровская ТЭЦ</x:v>
      </x:c>
      <x:c r="B341" s="16" t="str">
        <x:v>2000073087-U411</x:v>
      </x:c>
      <x:c r="C341" s="16" t="str">
        <x:v>ПОДШИПНИК 4074114</x:v>
      </x:c>
      <x:c r="D341" s="16" t="str">
        <x:v>Подшипники</x:v>
      </x:c>
      <x:c r="E341" s="16" t="str">
        <x:v>ШТ</x:v>
      </x:c>
      <x:c r="F341" s="21" t="n">
        <x:v>2</x:v>
      </x:c>
      <x:c r="G341" s="17" t="n">
        <x:v>381.555</x:v>
      </x:c>
      <x:c r="H341" s="17" t="n">
        <x:f>G341*F341</x:f>
        <x:v>763.11</x:v>
      </x:c>
      <x:c r="I341" s="22" t="str">
        <x:f>HYPERLINK("https://etp-aktiv.ru/catalog/materialy/podshipniki/2000073087-U411/","Открыть позицию")</x:f>
        <x:v>Открыть позицию</x:v>
      </x:c>
    </x:row>
    <x:row r="342" ht="28" customHeight="1">
      <x:c r="A342" s="16" t="str">
        <x:v>Ново-Кемеровская ТЭЦ</x:v>
      </x:c>
      <x:c r="B342" s="16" t="str">
        <x:v>2000556514-U411</x:v>
      </x:c>
      <x:c r="C342" s="16" t="str">
        <x:v>ПОДШИПНИК 409</x:v>
      </x:c>
      <x:c r="D342" s="16" t="str">
        <x:v>Подшипники</x:v>
      </x:c>
      <x:c r="E342" s="16" t="str">
        <x:v>ШТ</x:v>
      </x:c>
      <x:c r="F342" s="21" t="n">
        <x:v>1</x:v>
      </x:c>
      <x:c r="G342" s="17" t="n">
        <x:v>167.689</x:v>
      </x:c>
      <x:c r="H342" s="17" t="n">
        <x:f>G342*F342</x:f>
        <x:v>167.689</x:v>
      </x:c>
      <x:c r="I342" s="22" t="str">
        <x:f>HYPERLINK("https://etp-aktiv.ru/catalog/materialy/podshipniki/2000556514-U411/","Открыть позицию")</x:f>
        <x:v>Открыть позицию</x:v>
      </x:c>
    </x:row>
    <x:row r="343" ht="28" customHeight="1">
      <x:c r="A343" s="16" t="str">
        <x:v>Ново-Кемеровская ТЭЦ</x:v>
      </x:c>
      <x:c r="B343" s="16" t="str">
        <x:v>2000116489-U411</x:v>
      </x:c>
      <x:c r="C343" s="16" t="str">
        <x:v>ПОДШИПНИК 410</x:v>
      </x:c>
      <x:c r="D343" s="16" t="str">
        <x:v>Подшипники</x:v>
      </x:c>
      <x:c r="E343" s="16" t="str">
        <x:v>ШТ</x:v>
      </x:c>
      <x:c r="F343" s="21" t="n">
        <x:v>3</x:v>
      </x:c>
      <x:c r="G343" s="17" t="n">
        <x:v>329.4</x:v>
      </x:c>
      <x:c r="H343" s="17" t="n">
        <x:f>G343*F343</x:f>
        <x:v>988.1999999999999</x:v>
      </x:c>
      <x:c r="I343" s="22" t="str">
        <x:f>HYPERLINK("https://etp-aktiv.ru/catalog/materialy/podshipniki/2000116489-U411/","Открыть позицию")</x:f>
        <x:v>Открыть позицию</x:v>
      </x:c>
    </x:row>
    <x:row r="344" ht="28" customHeight="1">
      <x:c r="A344" s="16" t="str">
        <x:v>Ново-Кемеровская ТЭЦ</x:v>
      </x:c>
      <x:c r="B344" s="16" t="str">
        <x:v>2000127364-U411</x:v>
      </x:c>
      <x:c r="C344" s="16" t="str">
        <x:v>ПОДШИПНИК 46112</x:v>
      </x:c>
      <x:c r="D344" s="16" t="str">
        <x:v>Подшипники</x:v>
      </x:c>
      <x:c r="E344" s="16" t="str">
        <x:v>ШТ</x:v>
      </x:c>
      <x:c r="F344" s="21" t="n">
        <x:v>1</x:v>
      </x:c>
      <x:c r="G344" s="17" t="n">
        <x:v>235.277</x:v>
      </x:c>
      <x:c r="H344" s="17" t="n">
        <x:f>G344*F344</x:f>
        <x:v>235.277</x:v>
      </x:c>
      <x:c r="I344" s="22" t="str">
        <x:f>HYPERLINK("https://etp-aktiv.ru/catalog/materialy/podshipniki/2000127364-U411/","Открыть позицию")</x:f>
        <x:v>Открыть позицию</x:v>
      </x:c>
    </x:row>
    <x:row r="345" ht="28" customHeight="1">
      <x:c r="A345" s="16" t="str">
        <x:v>Ново-Кемеровская ТЭЦ</x:v>
      </x:c>
      <x:c r="B345" s="16" t="str">
        <x:v>2000072813-U411</x:v>
      </x:c>
      <x:c r="C345" s="16" t="str">
        <x:v>ПОДШИПНИК 46124</x:v>
      </x:c>
      <x:c r="D345" s="16" t="str">
        <x:v>Подшипники</x:v>
      </x:c>
      <x:c r="E345" s="16" t="str">
        <x:v>ШТ</x:v>
      </x:c>
      <x:c r="F345" s="21" t="n">
        <x:v>1</x:v>
      </x:c>
      <x:c r="G345" s="17" t="n">
        <x:v>571.9725999999999</x:v>
      </x:c>
      <x:c r="H345" s="17" t="n">
        <x:f>G345*F345</x:f>
        <x:v>571.9725999999999</x:v>
      </x:c>
      <x:c r="I345" s="22" t="str">
        <x:f>HYPERLINK("https://etp-aktiv.ru/catalog/materialy/podshipniki/2000072813-U411/","Открыть позицию")</x:f>
        <x:v>Открыть позицию</x:v>
      </x:c>
    </x:row>
    <x:row r="346" ht="28" customHeight="1">
      <x:c r="A346" s="16" t="str">
        <x:v>Ново-Кемеровская ТЭЦ</x:v>
      </x:c>
      <x:c r="B346" s="16" t="str">
        <x:v>2000008561-U411</x:v>
      </x:c>
      <x:c r="C346" s="16" t="str">
        <x:v>ПОДШИПНИК 46130</x:v>
      </x:c>
      <x:c r="D346" s="16" t="str">
        <x:v>Подшипники</x:v>
      </x:c>
      <x:c r="E346" s="16" t="str">
        <x:v>ШТ</x:v>
      </x:c>
      <x:c r="F346" s="21" t="n">
        <x:v>2</x:v>
      </x:c>
      <x:c r="G346" s="17" t="n">
        <x:v>1887.1936</x:v>
      </x:c>
      <x:c r="H346" s="17" t="n">
        <x:f>G346*F346</x:f>
        <x:v>3774.3872</x:v>
      </x:c>
      <x:c r="I346" s="22" t="str">
        <x:f>HYPERLINK("https://etp-aktiv.ru/catalog/materialy/podshipniki/2000008561-U411/","Открыть позицию")</x:f>
        <x:v>Открыть позицию</x:v>
      </x:c>
    </x:row>
    <x:row r="347" ht="28" customHeight="1">
      <x:c r="A347" s="16" t="str">
        <x:v>Ново-Кемеровская ТЭЦ</x:v>
      </x:c>
      <x:c r="B347" s="16" t="str">
        <x:v>2000449735-U411</x:v>
      </x:c>
      <x:c r="C347" s="16" t="str">
        <x:v>ПОДШИПНИК 46234</x:v>
      </x:c>
      <x:c r="D347" s="16" t="str">
        <x:v>Подшипники</x:v>
      </x:c>
      <x:c r="E347" s="16" t="str">
        <x:v>ШТ</x:v>
      </x:c>
      <x:c r="F347" s="21" t="n">
        <x:v>1</x:v>
      </x:c>
      <x:c r="G347" s="17" t="n">
        <x:v>3297.5624</x:v>
      </x:c>
      <x:c r="H347" s="17" t="n">
        <x:f>G347*F347</x:f>
        <x:v>3297.5624</x:v>
      </x:c>
      <x:c r="I347" s="22" t="str">
        <x:f>HYPERLINK("https://etp-aktiv.ru/catalog/materialy/podshipniki/2000449735-U411/","Открыть позицию")</x:f>
        <x:v>Открыть позицию</x:v>
      </x:c>
    </x:row>
    <x:row r="348" ht="28" customHeight="1">
      <x:c r="A348" s="16" t="str">
        <x:v>Ново-Кемеровская ТЭЦ</x:v>
      </x:c>
      <x:c r="B348" s="16" t="str">
        <x:v>2000005930-U411</x:v>
      </x:c>
      <x:c r="C348" s="16" t="str">
        <x:v>ПОДШИПНИК 46308</x:v>
      </x:c>
      <x:c r="D348" s="16" t="str">
        <x:v>Подшипники</x:v>
      </x:c>
      <x:c r="E348" s="16" t="str">
        <x:v>ШТ</x:v>
      </x:c>
      <x:c r="F348" s="21" t="n">
        <x:v>1</x:v>
      </x:c>
      <x:c r="G348" s="17" t="n">
        <x:v>188.9292</x:v>
      </x:c>
      <x:c r="H348" s="17" t="n">
        <x:f>G348*F348</x:f>
        <x:v>188.9292</x:v>
      </x:c>
      <x:c r="I348" s="22" t="str">
        <x:f>HYPERLINK("https://etp-aktiv.ru/catalog/materialy/podshipniki/2000005930-U411/","Открыть позицию")</x:f>
        <x:v>Открыть позицию</x:v>
      </x:c>
    </x:row>
    <x:row r="349" ht="28" customHeight="1">
      <x:c r="A349" s="16" t="str">
        <x:v>Ново-Кемеровская ТЭЦ</x:v>
      </x:c>
      <x:c r="B349" s="16" t="str">
        <x:v>2000004680-U411</x:v>
      </x:c>
      <x:c r="C349" s="16" t="str">
        <x:v>ПОДШИПНИК 46310</x:v>
      </x:c>
      <x:c r="D349" s="16" t="str">
        <x:v>Подшипники</x:v>
      </x:c>
      <x:c r="E349" s="16" t="str">
        <x:v>ШТ</x:v>
      </x:c>
      <x:c r="F349" s="21" t="n">
        <x:v>5</x:v>
      </x:c>
      <x:c r="G349" s="17" t="n">
        <x:v>386.74</x:v>
      </x:c>
      <x:c r="H349" s="17" t="n">
        <x:f>G349*F349</x:f>
        <x:v>1933.7</x:v>
      </x:c>
      <x:c r="I349" s="22" t="str">
        <x:f>HYPERLINK("https://etp-aktiv.ru/catalog/materialy/podshipniki/2000004680-U411/","Открыть позицию")</x:f>
        <x:v>Открыть позицию</x:v>
      </x:c>
    </x:row>
    <x:row r="350" ht="28" customHeight="1">
      <x:c r="A350" s="16" t="str">
        <x:v>Ново-Кемеровская ТЭЦ</x:v>
      </x:c>
      <x:c r="B350" s="16" t="str">
        <x:v>2000127214-U411</x:v>
      </x:c>
      <x:c r="C350" s="16" t="str">
        <x:v>ПОДШИПНИК 46313</x:v>
      </x:c>
      <x:c r="D350" s="16" t="str">
        <x:v>Подшипники</x:v>
      </x:c>
      <x:c r="E350" s="16" t="str">
        <x:v>ШТ</x:v>
      </x:c>
      <x:c r="F350" s="21" t="n">
        <x:v>6</x:v>
      </x:c>
      <x:c r="G350" s="17" t="n">
        <x:v>1149.4718</x:v>
      </x:c>
      <x:c r="H350" s="17" t="n">
        <x:f>G350*F350</x:f>
        <x:v>6896.8308</x:v>
      </x:c>
      <x:c r="I350" s="22" t="str">
        <x:f>HYPERLINK("https://etp-aktiv.ru/catalog/materialy/podshipniki/2000127214-U411/","Открыть позицию")</x:f>
        <x:v>Открыть позицию</x:v>
      </x:c>
    </x:row>
    <x:row r="351" ht="28" customHeight="1">
      <x:c r="A351" s="16" t="str">
        <x:v>Ново-Кемеровская ТЭЦ</x:v>
      </x:c>
      <x:c r="B351" s="16" t="str">
        <x:v>2000785071-U411</x:v>
      </x:c>
      <x:c r="C351" s="16" t="str">
        <x:v>ПОДШИПНИК 46313Л</x:v>
      </x:c>
      <x:c r="D351" s="16" t="str">
        <x:v>Подшипники</x:v>
      </x:c>
      <x:c r="E351" s="16" t="str">
        <x:v>ШТ</x:v>
      </x:c>
      <x:c r="F351" s="21" t="n">
        <x:v>12</x:v>
      </x:c>
      <x:c r="G351" s="17" t="n">
        <x:v>988.1999999999999</x:v>
      </x:c>
      <x:c r="H351" s="17" t="n">
        <x:f>G351*F351</x:f>
        <x:v>11858.4</x:v>
      </x:c>
      <x:c r="I351" s="22" t="str">
        <x:f>HYPERLINK("https://etp-aktiv.ru/catalog/materialy/podshipniki/2000785071-U411/","Открыть позицию")</x:f>
        <x:v>Открыть позицию</x:v>
      </x:c>
    </x:row>
    <x:row r="352" ht="28" customHeight="1">
      <x:c r="A352" s="16" t="str">
        <x:v>Ново-Кемеровская ТЭЦ</x:v>
      </x:c>
      <x:c r="B352" s="16" t="str">
        <x:v>2000167485-U411</x:v>
      </x:c>
      <x:c r="C352" s="16" t="str">
        <x:v>ПОДШИПНИК 46314Л</x:v>
      </x:c>
      <x:c r="D352" s="16" t="str">
        <x:v>Подшипники</x:v>
      </x:c>
      <x:c r="E352" s="16" t="str">
        <x:v>ШТ</x:v>
      </x:c>
      <x:c r="F352" s="21" t="n">
        <x:v>1</x:v>
      </x:c>
      <x:c r="G352" s="17" t="n">
        <x:v>860.5636</x:v>
      </x:c>
      <x:c r="H352" s="17" t="n">
        <x:f>G352*F352</x:f>
        <x:v>860.5636</x:v>
      </x:c>
      <x:c r="I352" s="22" t="str">
        <x:f>HYPERLINK("https://etp-aktiv.ru/catalog/materialy/podshipniki/2000167485-U411/","Открыть позицию")</x:f>
        <x:v>Открыть позицию</x:v>
      </x:c>
    </x:row>
    <x:row r="353" ht="28" customHeight="1">
      <x:c r="A353" s="16" t="str">
        <x:v>Ново-Кемеровская ТЭЦ</x:v>
      </x:c>
      <x:c r="B353" s="16" t="str">
        <x:v>2000034507-U411</x:v>
      </x:c>
      <x:c r="C353" s="16" t="str">
        <x:v>ПОДШИПНИК 46416</x:v>
      </x:c>
      <x:c r="D353" s="16" t="str">
        <x:v>Подшипники</x:v>
      </x:c>
      <x:c r="E353" s="16" t="str">
        <x:v>ШТ</x:v>
      </x:c>
      <x:c r="F353" s="21" t="n">
        <x:v>3</x:v>
      </x:c>
      <x:c r="G353" s="17" t="n">
        <x:v>926.5534</x:v>
      </x:c>
      <x:c r="H353" s="17" t="n">
        <x:f>G353*F353</x:f>
        <x:v>2779.6602000000003</x:v>
      </x:c>
      <x:c r="I353" s="22" t="str">
        <x:f>HYPERLINK("https://etp-aktiv.ru/catalog/materialy/podshipniki/2000034507-U411/","Открыть позицию")</x:f>
        <x:v>Открыть позицию</x:v>
      </x:c>
    </x:row>
    <x:row r="354" ht="28" customHeight="1">
      <x:c r="A354" s="16" t="str">
        <x:v>Ново-Кемеровская ТЭЦ</x:v>
      </x:c>
      <x:c r="B354" s="16" t="str">
        <x:v>2000138694-U411</x:v>
      </x:c>
      <x:c r="C354" s="16" t="str">
        <x:v>ПОДШИПНИК 54708</x:v>
      </x:c>
      <x:c r="D354" s="16" t="str">
        <x:v>Подшипники</x:v>
      </x:c>
      <x:c r="E354" s="16" t="str">
        <x:v>ШТ</x:v>
      </x:c>
      <x:c r="F354" s="21" t="n">
        <x:v>2</x:v>
      </x:c>
      <x:c r="G354" s="17" t="n">
        <x:v>627.1043999999999</x:v>
      </x:c>
      <x:c r="H354" s="17" t="n">
        <x:f>G354*F354</x:f>
        <x:v>1254.2087999999999</x:v>
      </x:c>
      <x:c r="I354" s="22" t="str">
        <x:f>HYPERLINK("https://etp-aktiv.ru/catalog/materialy/podshipniki/2000138694-U411/","Открыть позицию")</x:f>
        <x:v>Открыть позицию</x:v>
      </x:c>
    </x:row>
    <x:row r="355" ht="28" customHeight="1">
      <x:c r="A355" s="16" t="str">
        <x:v>Ново-Кемеровская ТЭЦ</x:v>
      </x:c>
      <x:c r="B355" s="16" t="str">
        <x:v>2000183308-U411</x:v>
      </x:c>
      <x:c r="C355" s="16" t="str">
        <x:v>ПОДШИПНИК 6-307</x:v>
      </x:c>
      <x:c r="D355" s="16" t="str">
        <x:v>Подшипники</x:v>
      </x:c>
      <x:c r="E355" s="16" t="str">
        <x:v>ШТ</x:v>
      </x:c>
      <x:c r="F355" s="21" t="n">
        <x:v>1</x:v>
      </x:c>
      <x:c r="G355" s="17" t="n">
        <x:v>57.1936</x:v>
      </x:c>
      <x:c r="H355" s="17" t="n">
        <x:f>G355*F355</x:f>
        <x:v>57.1936</x:v>
      </x:c>
      <x:c r="I355" s="22" t="str">
        <x:f>HYPERLINK("https://etp-aktiv.ru/catalog/materialy/podshipniki/2000183308-U411/","Открыть позицию")</x:f>
        <x:v>Открыть позицию</x:v>
      </x:c>
    </x:row>
    <x:row r="356" ht="28" customHeight="1">
      <x:c r="A356" s="16" t="str">
        <x:v>Ново-Кемеровская ТЭЦ</x:v>
      </x:c>
      <x:c r="B356" s="16" t="str">
        <x:v>2000556519-U411</x:v>
      </x:c>
      <x:c r="C356" s="16" t="str">
        <x:v>ПОДШИПНИК 6213</x:v>
      </x:c>
      <x:c r="D356" s="16" t="str">
        <x:v>Подшипники</x:v>
      </x:c>
      <x:c r="E356" s="16" t="str">
        <x:v>ШТ</x:v>
      </x:c>
      <x:c r="F356" s="21" t="n">
        <x:v>2</x:v>
      </x:c>
      <x:c r="G356" s="17" t="n">
        <x:v>354.7638</x:v>
      </x:c>
      <x:c r="H356" s="17" t="n">
        <x:f>G356*F356</x:f>
        <x:v>709.5276</x:v>
      </x:c>
      <x:c r="I356" s="22" t="str">
        <x:f>HYPERLINK("https://etp-aktiv.ru/catalog/materialy/podshipniki/2000556519-U411/","Открыть позицию")</x:f>
        <x:v>Открыть позицию</x:v>
      </x:c>
    </x:row>
    <x:row r="357" ht="28" customHeight="1">
      <x:c r="A357" s="16" t="str">
        <x:v>Ново-Кемеровская ТЭЦ</x:v>
      </x:c>
      <x:c r="B357" s="16" t="str">
        <x:v>2000116368-U411</x:v>
      </x:c>
      <x:c r="C357" s="16" t="str">
        <x:v>ПОДШИПНИК 6307</x:v>
      </x:c>
      <x:c r="D357" s="16" t="str">
        <x:v>Подшипники</x:v>
      </x:c>
      <x:c r="E357" s="16" t="str">
        <x:v>ШТ</x:v>
      </x:c>
      <x:c r="F357" s="21" t="n">
        <x:v>2</x:v>
      </x:c>
      <x:c r="G357" s="17" t="n">
        <x:v>155.0986</x:v>
      </x:c>
      <x:c r="H357" s="17" t="n">
        <x:f>G357*F357</x:f>
        <x:v>310.1972</x:v>
      </x:c>
      <x:c r="I357" s="22" t="str">
        <x:f>HYPERLINK("https://etp-aktiv.ru/catalog/materialy/podshipniki/2000116368-U411/","Открыть позицию")</x:f>
        <x:v>Открыть позицию</x:v>
      </x:c>
    </x:row>
    <x:row r="358" ht="28" customHeight="1">
      <x:c r="A358" s="16" t="str">
        <x:v>Ново-Кемеровская ТЭЦ</x:v>
      </x:c>
      <x:c r="B358" s="16" t="str">
        <x:v>2000183463-U411</x:v>
      </x:c>
      <x:c r="C358" s="16" t="str">
        <x:v>ПОДШИПНИК 6310ZZ</x:v>
      </x:c>
      <x:c r="D358" s="16" t="str">
        <x:v>Подшипники</x:v>
      </x:c>
      <x:c r="E358" s="16" t="str">
        <x:v>ШТ</x:v>
      </x:c>
      <x:c r="F358" s="21" t="n">
        <x:v>1</x:v>
      </x:c>
      <x:c r="G358" s="17" t="n">
        <x:v>105.3226</x:v>
      </x:c>
      <x:c r="H358" s="17" t="n">
        <x:f>G358*F358</x:f>
        <x:v>105.3226</x:v>
      </x:c>
      <x:c r="I358" s="22" t="str">
        <x:f>HYPERLINK("https://etp-aktiv.ru/catalog/materialy/podshipniki/2000183463-U411/","Открыть позицию")</x:f>
        <x:v>Открыть позицию</x:v>
      </x:c>
    </x:row>
    <x:row r="359" ht="28" customHeight="1">
      <x:c r="A359" s="16" t="str">
        <x:v>Ново-Кемеровская ТЭЦ</x:v>
      </x:c>
      <x:c r="B359" s="16" t="str">
        <x:v>2000073275-U411</x:v>
      </x:c>
      <x:c r="C359" s="16" t="str">
        <x:v>ПОДШИПНИК 66406</x:v>
      </x:c>
      <x:c r="D359" s="16" t="str">
        <x:v>Подшипники</x:v>
      </x:c>
      <x:c r="E359" s="16" t="str">
        <x:v>ШТ</x:v>
      </x:c>
      <x:c r="F359" s="21" t="n">
        <x:v>15</x:v>
      </x:c>
      <x:c r="G359" s="17" t="n">
        <x:v>299.55879999999996</x:v>
      </x:c>
      <x:c r="H359" s="17" t="n">
        <x:f>G359*F359</x:f>
        <x:v>4493.382</x:v>
      </x:c>
      <x:c r="I359" s="22" t="str">
        <x:f>HYPERLINK("https://etp-aktiv.ru/catalog/materialy/podshipniki/2000073275-U411/","Открыть позицию")</x:f>
        <x:v>Открыть позицию</x:v>
      </x:c>
    </x:row>
    <x:row r="360" ht="28" customHeight="1">
      <x:c r="A360" s="16" t="str">
        <x:v>Ново-Кемеровская ТЭЦ</x:v>
      </x:c>
      <x:c r="B360" s="16" t="str">
        <x:v>2000581759-U411</x:v>
      </x:c>
      <x:c r="C360" s="16" t="str">
        <x:v>ПОДШИПНИК 66414Л</x:v>
      </x:c>
      <x:c r="D360" s="16" t="str">
        <x:v>Подшипники</x:v>
      </x:c>
      <x:c r="E360" s="16" t="str">
        <x:v>ШТ</x:v>
      </x:c>
      <x:c r="F360" s="21" t="n">
        <x:v>6</x:v>
      </x:c>
      <x:c r="G360" s="17" t="n">
        <x:v>619.0036</x:v>
      </x:c>
      <x:c r="H360" s="17" t="n">
        <x:f>G360*F360</x:f>
        <x:v>3714.0216</x:v>
      </x:c>
      <x:c r="I360" s="22" t="str">
        <x:f>HYPERLINK("https://etp-aktiv.ru/catalog/materialy/podshipniki/2000581759-U411/","Открыть позицию")</x:f>
        <x:v>Открыть позицию</x:v>
      </x:c>
    </x:row>
    <x:row r="361" ht="28" customHeight="1">
      <x:c r="A361" s="16" t="str">
        <x:v>Ново-Кемеровская ТЭЦ</x:v>
      </x:c>
      <x:c r="B361" s="16" t="str">
        <x:v>2000116451-U411</x:v>
      </x:c>
      <x:c r="C361" s="16" t="str">
        <x:v>ПОДШИПНИК 7307</x:v>
      </x:c>
      <x:c r="D361" s="16" t="str">
        <x:v>Подшипники</x:v>
      </x:c>
      <x:c r="E361" s="16" t="str">
        <x:v>ШТ</x:v>
      </x:c>
      <x:c r="F361" s="21" t="n">
        <x:v>6</x:v>
      </x:c>
      <x:c r="G361" s="17" t="n">
        <x:v>121.4388</x:v>
      </x:c>
      <x:c r="H361" s="17" t="n">
        <x:f>G361*F361</x:f>
        <x:v>728.6328</x:v>
      </x:c>
      <x:c r="I361" s="22" t="str">
        <x:f>HYPERLINK("https://etp-aktiv.ru/catalog/materialy/podshipniki/2000116451-U411/","Открыть позицию")</x:f>
        <x:v>Открыть позицию</x:v>
      </x:c>
    </x:row>
    <x:row r="362" ht="28" customHeight="1">
      <x:c r="A362" s="16" t="str">
        <x:v>Ново-Кемеровская ТЭЦ</x:v>
      </x:c>
      <x:c r="B362" s="16" t="str">
        <x:v>2000115332-U411</x:v>
      </x:c>
      <x:c r="C362" s="16" t="str">
        <x:v>ПОДШИПНИК 7310</x:v>
      </x:c>
      <x:c r="D362" s="16" t="str">
        <x:v>Подшипники</x:v>
      </x:c>
      <x:c r="E362" s="16" t="str">
        <x:v>ШТ</x:v>
      </x:c>
      <x:c r="F362" s="21" t="n">
        <x:v>5</x:v>
      </x:c>
      <x:c r="G362" s="17" t="n">
        <x:v>424.5112</x:v>
      </x:c>
      <x:c r="H362" s="17" t="n">
        <x:f>G362*F362</x:f>
        <x:v>2122.556</x:v>
      </x:c>
      <x:c r="I362" s="22" t="str">
        <x:f>HYPERLINK("https://etp-aktiv.ru/catalog/materialy/podshipniki/2000115332-U411/","Открыть позицию")</x:f>
        <x:v>Открыть позицию</x:v>
      </x:c>
    </x:row>
    <x:row r="363" ht="28" customHeight="1">
      <x:c r="A363" s="16" t="str">
        <x:v>Ново-Кемеровская ТЭЦ</x:v>
      </x:c>
      <x:c r="B363" s="16" t="str">
        <x:v>2000116491-U411</x:v>
      </x:c>
      <x:c r="C363" s="16" t="str">
        <x:v>ПОДШИПНИК 7314</x:v>
      </x:c>
      <x:c r="D363" s="16" t="str">
        <x:v>Подшипники</x:v>
      </x:c>
      <x:c r="E363" s="16" t="str">
        <x:v>ШТ</x:v>
      </x:c>
      <x:c r="F363" s="21" t="n">
        <x:v>1</x:v>
      </x:c>
      <x:c r="G363" s="17" t="n">
        <x:v>333.1332</x:v>
      </x:c>
      <x:c r="H363" s="17" t="n">
        <x:f>G363*F363</x:f>
        <x:v>333.1332</x:v>
      </x:c>
      <x:c r="I363" s="22" t="str">
        <x:f>HYPERLINK("https://etp-aktiv.ru/catalog/materialy/podshipniki/2000116491-U411/","Открыть позицию")</x:f>
        <x:v>Открыть позицию</x:v>
      </x:c>
    </x:row>
    <x:row r="364" ht="28" customHeight="1">
      <x:c r="A364" s="16" t="str">
        <x:v>Ново-Кемеровская ТЭЦ</x:v>
      </x:c>
      <x:c r="B364" s="16" t="str">
        <x:v>2000116533-U411</x:v>
      </x:c>
      <x:c r="C364" s="16" t="str">
        <x:v>ПОДШИПНИК 7518</x:v>
      </x:c>
      <x:c r="D364" s="16" t="str">
        <x:v>Подшипники</x:v>
      </x:c>
      <x:c r="E364" s="16" t="str">
        <x:v>ШТ</x:v>
      </x:c>
      <x:c r="F364" s="21" t="n">
        <x:v>1</x:v>
      </x:c>
      <x:c r="G364" s="17" t="n">
        <x:v>370.575</x:v>
      </x:c>
      <x:c r="H364" s="17" t="n">
        <x:f>G364*F364</x:f>
        <x:v>370.575</x:v>
      </x:c>
      <x:c r="I364" s="22" t="str">
        <x:f>HYPERLINK("https://etp-aktiv.ru/catalog/materialy/podshipniki/2000116533-U411/","Открыть позицию")</x:f>
        <x:v>Открыть позицию</x:v>
      </x:c>
    </x:row>
    <x:row r="365" ht="28" customHeight="1">
      <x:c r="A365" s="16" t="str">
        <x:v>Ново-Кемеровская ТЭЦ</x:v>
      </x:c>
      <x:c r="B365" s="16" t="str">
        <x:v>2000008813-U411</x:v>
      </x:c>
      <x:c r="C365" s="16" t="str">
        <x:v>ПОДШИПНИК 7520</x:v>
      </x:c>
      <x:c r="D365" s="16" t="str">
        <x:v>Подшипники</x:v>
      </x:c>
      <x:c r="E365" s="16" t="str">
        <x:v>ШТ</x:v>
      </x:c>
      <x:c r="F365" s="21" t="n">
        <x:v>5</x:v>
      </x:c>
      <x:c r="G365" s="17" t="n">
        <x:v>880.4618</x:v>
      </x:c>
      <x:c r="H365" s="17" t="n">
        <x:f>G365*F365</x:f>
        <x:v>4402.309</x:v>
      </x:c>
      <x:c r="I365" s="22" t="str">
        <x:f>HYPERLINK("https://etp-aktiv.ru/catalog/materialy/podshipniki/2000008813-U411/","Открыть позицию")</x:f>
        <x:v>Открыть позицию</x:v>
      </x:c>
    </x:row>
    <x:row r="366" ht="28" customHeight="1">
      <x:c r="A366" s="16" t="str">
        <x:v>Ново-Кемеровская ТЭЦ</x:v>
      </x:c>
      <x:c r="B366" s="16" t="str">
        <x:v>2000116659-U411</x:v>
      </x:c>
      <x:c r="C366" s="16" t="str">
        <x:v>ПОДШИПНИК 7526</x:v>
      </x:c>
      <x:c r="D366" s="16" t="str">
        <x:v>Подшипники</x:v>
      </x:c>
      <x:c r="E366" s="16" t="str">
        <x:v>ШТ</x:v>
      </x:c>
      <x:c r="F366" s="21" t="n">
        <x:v>5</x:v>
      </x:c>
      <x:c r="G366" s="17" t="n">
        <x:v>1218.9142</x:v>
      </x:c>
      <x:c r="H366" s="17" t="n">
        <x:f>G366*F366</x:f>
        <x:v>6094.571</x:v>
      </x:c>
      <x:c r="I366" s="22" t="str">
        <x:f>HYPERLINK("https://etp-aktiv.ru/catalog/materialy/podshipniki/2000116659-U411/","Открыть позицию")</x:f>
        <x:v>Открыть позицию</x:v>
      </x:c>
    </x:row>
    <x:row r="367" ht="28" customHeight="1">
      <x:c r="A367" s="16" t="str">
        <x:v>Ново-Кемеровская ТЭЦ</x:v>
      </x:c>
      <x:c r="B367" s="16" t="str">
        <x:v>2000116672-U411</x:v>
      </x:c>
      <x:c r="C367" s="16" t="str">
        <x:v>ПОДШИПНИК 7528</x:v>
      </x:c>
      <x:c r="D367" s="16" t="str">
        <x:v>Подшипники</x:v>
      </x:c>
      <x:c r="E367" s="16" t="str">
        <x:v>ШТ</x:v>
      </x:c>
      <x:c r="F367" s="21" t="n">
        <x:v>1</x:v>
      </x:c>
      <x:c r="G367" s="17" t="n">
        <x:v>1579.4486000000002</x:v>
      </x:c>
      <x:c r="H367" s="17" t="n">
        <x:f>G367*F367</x:f>
        <x:v>1579.4486000000002</x:v>
      </x:c>
      <x:c r="I367" s="22" t="str">
        <x:f>HYPERLINK("https://etp-aktiv.ru/catalog/materialy/podshipniki/2000116672-U411/","Открыть позицию")</x:f>
        <x:v>Открыть позицию</x:v>
      </x:c>
    </x:row>
    <x:row r="368" ht="28" customHeight="1">
      <x:c r="A368" s="16" t="str">
        <x:v>Ново-Кемеровская ТЭЦ</x:v>
      </x:c>
      <x:c r="B368" s="16" t="str">
        <x:v>2000116717-U411</x:v>
      </x:c>
      <x:c r="C368" s="16" t="str">
        <x:v>ПОДШИПНИК 7530</x:v>
      </x:c>
      <x:c r="D368" s="16" t="str">
        <x:v>Подшипники</x:v>
      </x:c>
      <x:c r="E368" s="16" t="str">
        <x:v>ШТ</x:v>
      </x:c>
      <x:c r="F368" s="21" t="n">
        <x:v>1</x:v>
      </x:c>
      <x:c r="G368" s="17" t="n">
        <x:v>1999.2749999999999</x:v>
      </x:c>
      <x:c r="H368" s="17" t="n">
        <x:f>G368*F368</x:f>
        <x:v>1999.2749999999999</x:v>
      </x:c>
      <x:c r="I368" s="22" t="str">
        <x:f>HYPERLINK("https://etp-aktiv.ru/catalog/materialy/podshipniki/2000116717-U411/","Открыть позицию")</x:f>
        <x:v>Открыть позицию</x:v>
      </x:c>
    </x:row>
    <x:row r="369" ht="28" customHeight="1">
      <x:c r="A369" s="16" t="str">
        <x:v>Ново-Кемеровская ТЭЦ</x:v>
      </x:c>
      <x:c r="B369" s="16" t="str">
        <x:v>2000116376-U411</x:v>
      </x:c>
      <x:c r="C369" s="16" t="str">
        <x:v>ПОДШИПНИК 7606</x:v>
      </x:c>
      <x:c r="D369" s="16" t="str">
        <x:v>Подшипники</x:v>
      </x:c>
      <x:c r="E369" s="16" t="str">
        <x:v>ШТ</x:v>
      </x:c>
      <x:c r="F369" s="21" t="n">
        <x:v>10</x:v>
      </x:c>
      <x:c r="G369" s="17" t="n">
        <x:v>145.14339999999999</x:v>
      </x:c>
      <x:c r="H369" s="17" t="n">
        <x:f>G369*F369</x:f>
        <x:v>1451.4339999999997</x:v>
      </x:c>
      <x:c r="I369" s="22" t="str">
        <x:f>HYPERLINK("https://etp-aktiv.ru/catalog/materialy/podshipniki/2000116376-U411/","Открыть позицию")</x:f>
        <x:v>Открыть позицию</x:v>
      </x:c>
    </x:row>
    <x:row r="370" ht="28" customHeight="1">
      <x:c r="A370" s="16" t="str">
        <x:v>Ново-Кемеровская ТЭЦ</x:v>
      </x:c>
      <x:c r="B370" s="16" t="str">
        <x:v>2000034661-U411</x:v>
      </x:c>
      <x:c r="C370" s="16" t="str">
        <x:v>ПОДШИПНИК 80307</x:v>
      </x:c>
      <x:c r="D370" s="16" t="str">
        <x:v>Подшипники</x:v>
      </x:c>
      <x:c r="E370" s="16" t="str">
        <x:v>ШТ</x:v>
      </x:c>
      <x:c r="F370" s="21" t="n">
        <x:v>2</x:v>
      </x:c>
      <x:c r="G370" s="17" t="n">
        <x:v>67.1976</x:v>
      </x:c>
      <x:c r="H370" s="17" t="n">
        <x:f>G370*F370</x:f>
        <x:v>134.3952</x:v>
      </x:c>
      <x:c r="I370" s="22" t="str">
        <x:f>HYPERLINK("https://etp-aktiv.ru/catalog/materialy/podshipniki/2000034661-U411/","Открыть позицию")</x:f>
        <x:v>Открыть позицию</x:v>
      </x:c>
    </x:row>
    <x:row r="371" ht="28" customHeight="1">
      <x:c r="A371" s="16" t="str">
        <x:v>Ново-Кемеровская ТЭЦ</x:v>
      </x:c>
      <x:c r="B371" s="16" t="str">
        <x:v>2000116463-U411</x:v>
      </x:c>
      <x:c r="C371" s="16" t="str">
        <x:v>ПОДШИПНИК 8111</x:v>
      </x:c>
      <x:c r="D371" s="16" t="str">
        <x:v>Подшипники</x:v>
      </x:c>
      <x:c r="E371" s="16" t="str">
        <x:v>ШТ</x:v>
      </x:c>
      <x:c r="F371" s="21" t="n">
        <x:v>51</x:v>
      </x:c>
      <x:c r="G371" s="17" t="n">
        <x:v>39.6988</x:v>
      </x:c>
      <x:c r="H371" s="17" t="n">
        <x:f>G371*F371</x:f>
        <x:v>2024.6388</x:v>
      </x:c>
      <x:c r="I371" s="22" t="str">
        <x:f>HYPERLINK("https://etp-aktiv.ru/catalog/materialy/podshipniki/2000116463-U411/","Открыть позицию")</x:f>
        <x:v>Открыть позицию</x:v>
      </x:c>
    </x:row>
    <x:row r="372" ht="28" customHeight="1">
      <x:c r="A372" s="16" t="str">
        <x:v>Ново-Кемеровская ТЭЦ</x:v>
      </x:c>
      <x:c r="B372" s="16" t="str">
        <x:v>2000116381-U411</x:v>
      </x:c>
      <x:c r="C372" s="16" t="str">
        <x:v>ПОДШИПНИК 8112</x:v>
      </x:c>
      <x:c r="D372" s="16" t="str">
        <x:v>Подшипники</x:v>
      </x:c>
      <x:c r="E372" s="16" t="str">
        <x:v>ШТ</x:v>
      </x:c>
      <x:c r="F372" s="21" t="n">
        <x:v>20</x:v>
      </x:c>
      <x:c r="G372" s="17" t="n">
        <x:v>64.05</x:v>
      </x:c>
      <x:c r="H372" s="17" t="n">
        <x:f>G372*F372</x:f>
        <x:v>1281</x:v>
      </x:c>
      <x:c r="I372" s="22" t="str">
        <x:f>HYPERLINK("https://etp-aktiv.ru/catalog/materialy/podshipniki/2000116381-U411/","Открыть позицию")</x:f>
        <x:v>Открыть позицию</x:v>
      </x:c>
    </x:row>
    <x:row r="373" ht="28" customHeight="1">
      <x:c r="A373" s="16" t="str">
        <x:v>Ново-Кемеровская ТЭЦ</x:v>
      </x:c>
      <x:c r="B373" s="16" t="str">
        <x:v>2000127343-U411</x:v>
      </x:c>
      <x:c r="C373" s="16" t="str">
        <x:v>ПОДШИПНИК 8118</x:v>
      </x:c>
      <x:c r="D373" s="16" t="str">
        <x:v>Подшипники</x:v>
      </x:c>
      <x:c r="E373" s="16" t="str">
        <x:v>ШТ</x:v>
      </x:c>
      <x:c r="F373" s="21" t="n">
        <x:v>4</x:v>
      </x:c>
      <x:c r="G373" s="17" t="n">
        <x:v>128.1</x:v>
      </x:c>
      <x:c r="H373" s="17" t="n">
        <x:f>G373*F373</x:f>
        <x:v>512.4</x:v>
      </x:c>
      <x:c r="I373" s="22" t="str">
        <x:f>HYPERLINK("https://etp-aktiv.ru/catalog/materialy/podshipniki/2000127343-U411/","Открыть позицию")</x:f>
        <x:v>Открыть позицию</x:v>
      </x:c>
    </x:row>
    <x:row r="374" ht="28" customHeight="1">
      <x:c r="A374" s="16" t="str">
        <x:v>Ново-Кемеровская ТЭЦ</x:v>
      </x:c>
      <x:c r="B374" s="16" t="str">
        <x:v>2000034673-U411</x:v>
      </x:c>
      <x:c r="C374" s="16" t="str">
        <x:v>ПОДШИПНИК 8124</x:v>
      </x:c>
      <x:c r="D374" s="16" t="str">
        <x:v>Подшипники</x:v>
      </x:c>
      <x:c r="E374" s="16" t="str">
        <x:v>ШТ</x:v>
      </x:c>
      <x:c r="F374" s="21" t="n">
        <x:v>2</x:v>
      </x:c>
      <x:c r="G374" s="17" t="n">
        <x:v>226.005</x:v>
      </x:c>
      <x:c r="H374" s="17" t="n">
        <x:f>G374*F374</x:f>
        <x:v>452.01</x:v>
      </x:c>
      <x:c r="I374" s="22" t="str">
        <x:f>HYPERLINK("https://etp-aktiv.ru/catalog/materialy/podshipniki/2000034673-U411/","Открыть позицию")</x:f>
        <x:v>Открыть позицию</x:v>
      </x:c>
    </x:row>
    <x:row r="375" ht="28" customHeight="1">
      <x:c r="A375" s="16" t="str">
        <x:v>Ново-Кемеровская ТЭЦ</x:v>
      </x:c>
      <x:c r="B375" s="16" t="str">
        <x:v>2000116324-U411</x:v>
      </x:c>
      <x:c r="C375" s="16" t="str">
        <x:v>ПОДШИПНИК 8205</x:v>
      </x:c>
      <x:c r="D375" s="16" t="str">
        <x:v>Подшипники</x:v>
      </x:c>
      <x:c r="E375" s="16" t="str">
        <x:v>ШТ</x:v>
      </x:c>
      <x:c r="F375" s="21" t="n">
        <x:v>7</x:v>
      </x:c>
      <x:c r="G375" s="17" t="n">
        <x:v>35.367799999999995</x:v>
      </x:c>
      <x:c r="H375" s="17" t="n">
        <x:f>G375*F375</x:f>
        <x:v>247.57459999999998</x:v>
      </x:c>
      <x:c r="I375" s="22" t="str">
        <x:f>HYPERLINK("https://etp-aktiv.ru/catalog/materialy/podshipniki/2000116324-U411/","Открыть позицию")</x:f>
        <x:v>Открыть позицию</x:v>
      </x:c>
    </x:row>
    <x:row r="376" ht="28" customHeight="1">
      <x:c r="A376" s="16" t="str">
        <x:v>Ново-Кемеровская ТЭЦ</x:v>
      </x:c>
      <x:c r="B376" s="16" t="str">
        <x:v>2000116427-U411</x:v>
      </x:c>
      <x:c r="C376" s="16" t="str">
        <x:v>ПОДШИПНИК 8208</x:v>
      </x:c>
      <x:c r="D376" s="16" t="str">
        <x:v>Подшипники</x:v>
      </x:c>
      <x:c r="E376" s="16" t="str">
        <x:v>ШТ</x:v>
      </x:c>
      <x:c r="F376" s="21" t="n">
        <x:v>2</x:v>
      </x:c>
      <x:c r="G376" s="17" t="n">
        <x:v>73.8466</x:v>
      </x:c>
      <x:c r="H376" s="17" t="n">
        <x:f>G376*F376</x:f>
        <x:v>147.6932</x:v>
      </x:c>
      <x:c r="I376" s="22" t="str">
        <x:f>HYPERLINK("https://etp-aktiv.ru/catalog/materialy/podshipniki/2000116427-U411/","Открыть позицию")</x:f>
        <x:v>Открыть позицию</x:v>
      </x:c>
    </x:row>
    <x:row r="377" ht="28" customHeight="1">
      <x:c r="A377" s="16" t="str">
        <x:v>Ново-Кемеровская ТЭЦ</x:v>
      </x:c>
      <x:c r="B377" s="16" t="str">
        <x:v>2000034684-U411</x:v>
      </x:c>
      <x:c r="C377" s="16" t="str">
        <x:v>ПОДШИПНИК 8214</x:v>
      </x:c>
      <x:c r="D377" s="16" t="str">
        <x:v>Подшипники</x:v>
      </x:c>
      <x:c r="E377" s="16" t="str">
        <x:v>ШТ</x:v>
      </x:c>
      <x:c r="F377" s="21" t="n">
        <x:v>14</x:v>
      </x:c>
      <x:c r="G377" s="17" t="n">
        <x:v>210.2914</x:v>
      </x:c>
      <x:c r="H377" s="17" t="n">
        <x:f>G377*F377</x:f>
        <x:v>2944.0796</x:v>
      </x:c>
      <x:c r="I377" s="22" t="str">
        <x:f>HYPERLINK("https://etp-aktiv.ru/catalog/materialy/podshipniki/2000034684-U411/","Открыть позицию")</x:f>
        <x:v>Открыть позицию</x:v>
      </x:c>
    </x:row>
    <x:row r="378" ht="28" customHeight="1">
      <x:c r="A378" s="16" t="str">
        <x:v>Ново-Кемеровская ТЭЦ</x:v>
      </x:c>
      <x:c r="B378" s="16" t="str">
        <x:v>2000449758-U411</x:v>
      </x:c>
      <x:c r="C378" s="16" t="str">
        <x:v>ПОДШИПНИК 8216</x:v>
      </x:c>
      <x:c r="D378" s="16" t="str">
        <x:v>Подшипники</x:v>
      </x:c>
      <x:c r="E378" s="16" t="str">
        <x:v>ШТ</x:v>
      </x:c>
      <x:c r="F378" s="21" t="n">
        <x:v>5</x:v>
      </x:c>
      <x:c r="G378" s="17" t="n">
        <x:v>590.0042</x:v>
      </x:c>
      <x:c r="H378" s="17" t="n">
        <x:f>G378*F378</x:f>
        <x:v>2950.0209999999997</x:v>
      </x:c>
      <x:c r="I378" s="22" t="str">
        <x:f>HYPERLINK("https://etp-aktiv.ru/catalog/materialy/podshipniki/2000449758-U411/","Открыть позицию")</x:f>
        <x:v>Открыть позицию</x:v>
      </x:c>
    </x:row>
    <x:row r="379" ht="28" customHeight="1">
      <x:c r="A379" s="16" t="str">
        <x:v>Ново-Кемеровская ТЭЦ</x:v>
      </x:c>
      <x:c r="B379" s="16" t="str">
        <x:v>2000116589-U411</x:v>
      </x:c>
      <x:c r="C379" s="16" t="str">
        <x:v>ПОДШИПНИК 8224</x:v>
      </x:c>
      <x:c r="D379" s="16" t="str">
        <x:v>Подшипники</x:v>
      </x:c>
      <x:c r="E379" s="16" t="str">
        <x:v>ШТ</x:v>
      </x:c>
      <x:c r="F379" s="21" t="n">
        <x:v>3</x:v>
      </x:c>
      <x:c r="G379" s="17" t="n">
        <x:v>365.03619999999995</x:v>
      </x:c>
      <x:c r="H379" s="17" t="n">
        <x:f>G379*F379</x:f>
        <x:v>1095.1085999999998</x:v>
      </x:c>
      <x:c r="I379" s="22" t="str">
        <x:f>HYPERLINK("https://etp-aktiv.ru/catalog/materialy/podshipniki/2000116589-U411/","Открыть позицию")</x:f>
        <x:v>Открыть позицию</x:v>
      </x:c>
    </x:row>
    <x:row r="380" ht="28" customHeight="1">
      <x:c r="A380" s="16" t="str">
        <x:v>Ново-Кемеровская ТЭЦ</x:v>
      </x:c>
      <x:c r="B380" s="16" t="str">
        <x:v>2000116718-U411</x:v>
      </x:c>
      <x:c r="C380" s="16" t="str">
        <x:v>ПОДШИПНИК 8230</x:v>
      </x:c>
      <x:c r="D380" s="16" t="str">
        <x:v>Подшипники</x:v>
      </x:c>
      <x:c r="E380" s="16" t="str">
        <x:v>ШТ</x:v>
      </x:c>
      <x:c r="F380" s="21" t="n">
        <x:v>4</x:v>
      </x:c>
      <x:c r="G380" s="17" t="n">
        <x:v>2350.0006</x:v>
      </x:c>
      <x:c r="H380" s="17" t="n">
        <x:f>G380*F380</x:f>
        <x:v>9400.0024</x:v>
      </x:c>
      <x:c r="I380" s="22" t="str">
        <x:f>HYPERLINK("https://etp-aktiv.ru/catalog/materialy/podshipniki/2000116718-U411/","Открыть позицию")</x:f>
        <x:v>Открыть позицию</x:v>
      </x:c>
    </x:row>
    <x:row r="381" ht="28" customHeight="1">
      <x:c r="A381" s="16" t="str">
        <x:v>Ново-Кемеровская ТЭЦ</x:v>
      </x:c>
      <x:c r="B381" s="16" t="str">
        <x:v>2000011160-U411</x:v>
      </x:c>
      <x:c r="C381" s="16" t="str">
        <x:v>ПОДШИПНИК 8236</x:v>
      </x:c>
      <x:c r="D381" s="16" t="str">
        <x:v>Подшипники</x:v>
      </x:c>
      <x:c r="E381" s="16" t="str">
        <x:v>ШТ</x:v>
      </x:c>
      <x:c r="F381" s="21" t="n">
        <x:v>1</x:v>
      </x:c>
      <x:c r="G381" s="17" t="n">
        <x:v>857.8186</x:v>
      </x:c>
      <x:c r="H381" s="17" t="n">
        <x:f>G381*F381</x:f>
        <x:v>857.8186</x:v>
      </x:c>
      <x:c r="I381" s="22" t="str">
        <x:f>HYPERLINK("https://etp-aktiv.ru/catalog/materialy/podshipniki/2000011160-U411/","Открыть позицию")</x:f>
        <x:v>Открыть позицию</x:v>
      </x:c>
    </x:row>
    <x:row r="382" ht="28" customHeight="1">
      <x:c r="A382" s="16" t="str">
        <x:v>Ново-Кемеровская ТЭЦ</x:v>
      </x:c>
      <x:c r="B382" s="16" t="str">
        <x:v>2000595553-U411</x:v>
      </x:c>
      <x:c r="C382" s="16" t="str">
        <x:v>ПОДШИПНИК ПОЛИМЕРНЫЙ ВШН-150 14061</x:v>
      </x:c>
      <x:c r="D382" s="16" t="str">
        <x:v>Запасные части к насосам</x:v>
      </x:c>
      <x:c r="E382" s="16" t="str">
        <x:v>ШТ</x:v>
      </x:c>
      <x:c r="F382" s="21" t="n">
        <x:v>1</x:v>
      </x:c>
      <x:c r="G382" s="17" t="n">
        <x:v>5833.125</x:v>
      </x:c>
      <x:c r="H382" s="17" t="n">
        <x:f>G382*F382</x:f>
        <x:v>5833.125</x:v>
      </x:c>
      <x:c r="I382" s="22" t="str">
        <x:f>HYPERLINK("https://etp-aktiv.ru/catalog/materialy/zapasnye-chasti-promyshlennogo-oborudovaniya/2000595553-U411/","Открыть позицию")</x:f>
        <x:v>Открыть позицию</x:v>
      </x:c>
    </x:row>
    <x:row r="383" ht="28" customHeight="1">
      <x:c r="A383" s="16" t="str">
        <x:v>Ново-Кемеровская ТЭЦ</x:v>
      </x:c>
      <x:c r="B383" s="16" t="str">
        <x:v>2000392989-U411</x:v>
      </x:c>
      <x:c r="C383" s="16" t="str">
        <x:v>ПОДШИПНИК ШАРИКОВЫЙ 6320МСЗ</x:v>
      </x:c>
      <x:c r="D383" s="16" t="str">
        <x:v>Подшипники</x:v>
      </x:c>
      <x:c r="E383" s="16" t="str">
        <x:v>ШТ</x:v>
      </x:c>
      <x:c r="F383" s="21" t="n">
        <x:v>1</x:v>
      </x:c>
      <x:c r="G383" s="17" t="n">
        <x:v>7431.0199999999995</x:v>
      </x:c>
      <x:c r="H383" s="17" t="n">
        <x:f>G383*F383</x:f>
        <x:v>7431.0199999999995</x:v>
      </x:c>
      <x:c r="I383" s="22" t="str">
        <x:f>HYPERLINK("https://etp-aktiv.ru/catalog/materialy/podshipniki/2000392989-U411/","Открыть позицию")</x:f>
        <x:v>Открыть позицию</x:v>
      </x:c>
    </x:row>
    <x:row r="384" ht="28" customHeight="1">
      <x:c r="A384" s="16" t="str">
        <x:v>Ново-Кемеровская ТЭЦ</x:v>
      </x:c>
      <x:c r="B384" s="16" t="str">
        <x:v>2000543722-U411</x:v>
      </x:c>
      <x:c r="C384" s="16" t="str">
        <x:v>РЕЗЕЦ ПРОХОДНОЙ СБОРН РЭО-82 20*20*125</x:v>
      </x:c>
      <x:c r="D384" s="16" t="str">
        <x:v>Инструмент и спецосн</x:v>
      </x:c>
      <x:c r="E384" s="16" t="str">
        <x:v>ШТ</x:v>
      </x:c>
      <x:c r="F384" s="21" t="n">
        <x:v>5</x:v>
      </x:c>
      <x:c r="G384" s="17" t="n">
        <x:v>1300.7152</x:v>
      </x:c>
      <x:c r="H384" s="17" t="n">
        <x:f>G384*F384</x:f>
        <x:v>6503.576000000001</x:v>
      </x:c>
      <x:c r="I384" s="22" t="str">
        <x:f>HYPERLINK("https://etp-aktiv.ru/catalog/materialy/instrument-i-specosnastka/2000543722-U411/","Открыть позицию")</x:f>
        <x:v>Открыть позицию</x:v>
      </x:c>
    </x:row>
    <x:row r="385" ht="28" customHeight="1">
      <x:c r="A385" s="16" t="str">
        <x:v>Ново-Кемеровская ТЭЦ</x:v>
      </x:c>
      <x:c r="B385" s="16" t="str">
        <x:v>2000543655-U411</x:v>
      </x:c>
      <x:c r="C385" s="16" t="str">
        <x:v>РЕЗЕЦ ФАСОЧНЫЙ 32*20*140 ВК8</x:v>
      </x:c>
      <x:c r="D385" s="16" t="str">
        <x:v>Инструмент и спецосн</x:v>
      </x:c>
      <x:c r="E385" s="16" t="str">
        <x:v>ШТ</x:v>
      </x:c>
      <x:c r="F385" s="21" t="n">
        <x:v>5</x:v>
      </x:c>
      <x:c r="G385" s="17" t="n">
        <x:v>145.729</x:v>
      </x:c>
      <x:c r="H385" s="17" t="n">
        <x:f>G385*F385</x:f>
        <x:v>728.6450000000001</x:v>
      </x:c>
      <x:c r="I385" s="22" t="str">
        <x:f>HYPERLINK("https://etp-aktiv.ru/catalog/materialy/instrument-i-specosnastka/2000543655-U411/","Открыть позицию")</x:f>
        <x:v>Открыть позицию</x:v>
      </x:c>
    </x:row>
    <x:row r="386" ht="28" customHeight="1">
      <x:c r="A386" s="16" t="str">
        <x:v>Ново-Кемеровская ТЭЦ</x:v>
      </x:c>
      <x:c r="B386" s="16" t="str">
        <x:v>2000775987-U411</x:v>
      </x:c>
      <x:c r="C386" s="16" t="str">
        <x:v>РОТОР Н18.112.20.00</x:v>
      </x:c>
      <x:c r="D386" s="16" t="str">
        <x:v>Запасные части к насосам</x:v>
      </x:c>
      <x:c r="E386" s="16" t="str">
        <x:v>ШТ</x:v>
      </x:c>
      <x:c r="F386" s="21" t="n">
        <x:v>1</x:v>
      </x:c>
      <x:c r="G386" s="17" t="n">
        <x:v>643989.2</x:v>
      </x:c>
      <x:c r="H386" s="17" t="n">
        <x:f>G386*F386</x:f>
        <x:v>643989.2</x:v>
      </x:c>
      <x:c r="I386" s="22" t="str">
        <x:f>HYPERLINK("https://etp-aktiv.ru/catalog/materialy/zapasnye-chasti-promyshlennogo-oborudovaniya/2000775987-U411/","Открыть позицию")</x:f>
        <x:v>Открыть позицию</x:v>
      </x:c>
    </x:row>
    <x:row r="387" ht="28" customHeight="1">
      <x:c r="A387" s="16" t="str">
        <x:v>Ново-Кемеровская ТЭЦ</x:v>
      </x:c>
      <x:c r="B387" s="16" t="str">
        <x:v>2000257292-U411</x:v>
      </x:c>
      <x:c r="C387" s="16" t="str">
        <x:v>СТОЙКА МАГНИТНАЯ MB32F GR03406</x:v>
      </x:c>
      <x:c r="D387" s="16" t="str">
        <x:v>Инструмент и спецоснастка</x:v>
      </x:c>
      <x:c r="E387" s="16" t="str">
        <x:v>ШТ</x:v>
      </x:c>
      <x:c r="F387" s="21" t="n">
        <x:v>6</x:v>
      </x:c>
      <x:c r="G387" s="17" t="n">
        <x:v>4025.0972</x:v>
      </x:c>
      <x:c r="H387" s="17" t="n">
        <x:f>G387*F387</x:f>
        <x:v>24150.5832</x:v>
      </x:c>
      <x:c r="I387" s="22" t="str">
        <x:f>HYPERLINK("https://etp-aktiv.ru/catalog/materialy/instrument-i-specosnastka/2000257292-U411/","Открыть позицию")</x:f>
        <x:v>Открыть позицию</x:v>
      </x:c>
    </x:row>
    <x:row r="388" ht="28" customHeight="1">
      <x:c r="A388" s="16" t="str">
        <x:v>Ново-Кемеровская ТЭЦ</x:v>
      </x:c>
      <x:c r="B388" s="16" t="str">
        <x:v>2000257633-U411</x:v>
      </x:c>
      <x:c r="C388" s="16" t="str">
        <x:v>УЗЕЛ ПОДШИПНИКОВЫЙ 12839 СБ</x:v>
      </x:c>
      <x:c r="D388" s="16" t="str">
        <x:v>ЗЧ к КВО</x:v>
      </x:c>
      <x:c r="E388" s="16" t="str">
        <x:v>ШТ</x:v>
      </x:c>
      <x:c r="F388" s="21" t="n">
        <x:v>1</x:v>
      </x:c>
      <x:c r="G388" s="17" t="n">
        <x:v>24400</x:v>
      </x:c>
      <x:c r="H388" s="17" t="n">
        <x:f>G388*F388</x:f>
        <x:v>24400</x:v>
      </x:c>
      <x:c r="I388" s="22" t="str">
        <x:f>HYPERLINK("https://etp-aktiv.ru/catalog/materialy/zapasnye-chasti-osnovnogo-ehnergeticheskogo-oborudovaniya/2000257633-U411/","Открыть позицию")</x:f>
        <x:v>Открыть позицию</x:v>
      </x:c>
    </x:row>
    <x:row r="389" ht="28" customHeight="1">
      <x:c r="A389" s="16" t="str">
        <x:v>Ново-Кемеровская ТЭЦ</x:v>
      </x:c>
      <x:c r="B389" s="16" t="str">
        <x:v>2000556712-U411</x:v>
      </x:c>
      <x:c r="C389" s="16" t="str">
        <x:v>УПЛОТНЕНИЕ TSN 524 S</x:v>
      </x:c>
      <x:c r="D389" s="16" t="str">
        <x:v>Подшипники</x:v>
      </x:c>
      <x:c r="E389" s="16" t="str">
        <x:v>ШТ</x:v>
      </x:c>
      <x:c r="F389" s="21" t="n">
        <x:v>20</x:v>
      </x:c>
      <x:c r="G389" s="17" t="n">
        <x:v>258.945</x:v>
      </x:c>
      <x:c r="H389" s="17" t="n">
        <x:f>G389*F389</x:f>
        <x:v>5178.9</x:v>
      </x:c>
      <x:c r="I389" s="22" t="str">
        <x:f>HYPERLINK("https://etp-aktiv.ru/catalog/materialy/podshipniki/2000556712-U411/","Открыть позицию")</x:f>
        <x:v>Открыть позицию</x:v>
      </x:c>
    </x:row>
    <x:row r="390" ht="28" customHeight="1">
      <x:c r="A390" s="16" t="str">
        <x:v>Ново-Кемеровская ТЭЦ</x:v>
      </x:c>
      <x:c r="B390" s="16" t="str">
        <x:v>2000595592-U411</x:v>
      </x:c>
      <x:c r="C390" s="16" t="str">
        <x:v>УПЛОТНЕНИЕ НПС65/35-500 80.25МТТ.01.2</x:v>
      </x:c>
      <x:c r="D390" s="16" t="str">
        <x:v>Запасные части к насосам</x:v>
      </x:c>
      <x:c r="E390" s="16" t="str">
        <x:v>ШТ</x:v>
      </x:c>
      <x:c r="F390" s="21" t="n">
        <x:v>4</x:v>
      </x:c>
      <x:c r="G390" s="17" t="n">
        <x:v>48800</x:v>
      </x:c>
      <x:c r="H390" s="17" t="n">
        <x:f>G390*F390</x:f>
        <x:v>195200</x:v>
      </x:c>
      <x:c r="I390" s="22" t="str">
        <x:f>HYPERLINK("https://etp-aktiv.ru/catalog/materialy/zapasnye-chasti-promyshlennogo-oborudovaniya/2000595592-U411/","Открыть позицию")</x:f>
        <x:v>Открыть позицию</x:v>
      </x:c>
    </x:row>
    <x:row r="391" ht="28" customHeight="1">
      <x:c r="A391" s="16" t="str">
        <x:v>Ново-Кемеровская ТЭЦ</x:v>
      </x:c>
      <x:c r="B391" s="16" t="str">
        <x:v>2000534624-U411</x:v>
      </x:c>
      <x:c r="C391" s="16" t="str">
        <x:v>ШАРИК 35,719ММ 12Х18Н10Т НАСОСОВ НД</x:v>
      </x:c>
      <x:c r="D391" s="16" t="str">
        <x:v>Запасные части к химическим насосам</x:v>
      </x:c>
      <x:c r="E391" s="16" t="str">
        <x:v>ШТ</x:v>
      </x:c>
      <x:c r="F391" s="21" t="n">
        <x:v>4</x:v>
      </x:c>
      <x:c r="G391" s="17" t="n">
        <x:v>2362.6641999999997</x:v>
      </x:c>
      <x:c r="H391" s="17" t="n">
        <x:f>G391*F391</x:f>
        <x:v>9450.656799999999</x:v>
      </x:c>
      <x:c r="I391" s="22" t="str">
        <x:f>HYPERLINK("https://etp-aktiv.ru/catalog/materialy/zapasnye-chasti-promyshlennogo-oborudovaniya/2000534624-U411/","Открыть позицию")</x:f>
        <x:v>Открыть позицию</x:v>
      </x:c>
    </x:row>
    <x:row r="392" ht="28" customHeight="1">
      <x:c r="A392" s="16" t="str">
        <x:v>Ново-Кемеровская ТЭЦ</x:v>
      </x:c>
      <x:c r="B392" s="16" t="str">
        <x:v>2000567320-U411</x:v>
      </x:c>
      <x:c r="C392" s="16" t="str">
        <x:v>ШАРИК Н19,844-10 08Х17Н13М2Т ГОСТ3722-81</x:v>
      </x:c>
      <x:c r="D392" s="16" t="str">
        <x:v>Запасные части к насосам</x:v>
      </x:c>
      <x:c r="E392" s="16" t="str">
        <x:v>ШТ</x:v>
      </x:c>
      <x:c r="F392" s="21" t="n">
        <x:v>6</x:v>
      </x:c>
      <x:c r="G392" s="17" t="n">
        <x:v>503.25</x:v>
      </x:c>
      <x:c r="H392" s="17" t="n">
        <x:f>G392*F392</x:f>
        <x:v>3019.5</x:v>
      </x:c>
      <x:c r="I392" s="22" t="str">
        <x:f>HYPERLINK("https://etp-aktiv.ru/catalog/materialy/zapasnye-chasti-promyshlennogo-oborudovaniya/2000567320-U411/","Открыть позицию")</x:f>
        <x:v>Открыть позицию</x:v>
      </x:c>
    </x:row>
    <x:row r="393" ht="28" customHeight="1">
      <x:c r="A393" s="16" t="str">
        <x:v>Ново-Кемеровская ТЭЦ</x:v>
      </x:c>
      <x:c r="B393" s="16" t="str">
        <x:v>2000544186-U411</x:v>
      </x:c>
      <x:c r="C393" s="16" t="str">
        <x:v>ШКУРКА ШЛ В/С О 1 770 ЛОГ 6-Н СФЖ 3038</x:v>
      </x:c>
      <x:c r="D393" s="16" t="str">
        <x:v>Инструмент и спецоснастка</x:v>
      </x:c>
      <x:c r="E393" s="16" t="str">
        <x:v>ПМ</x:v>
      </x:c>
      <x:c r="F393" s="29" t="n">
        <x:v>7.02</x:v>
      </x:c>
      <x:c r="G393" s="17" t="n">
        <x:v>114.9972</x:v>
      </x:c>
      <x:c r="H393" s="17" t="n">
        <x:f>G393*F393</x:f>
        <x:v>807.280344</x:v>
      </x:c>
      <x:c r="I393" s="22" t="str">
        <x:f>HYPERLINK("https://etp-aktiv.ru/catalog/materialy/instrument-i-specosnastka/2000544186-U411/","Открыть позицию")</x:f>
        <x:v>Открыть позицию</x:v>
      </x:c>
    </x:row>
    <x:row r="394" ht="28" customHeight="1">
      <x:c r="A394" s="16" t="str">
        <x:v>Ново-Кемеровская ТЭЦ</x:v>
      </x:c>
      <x:c r="B394" s="16" t="str">
        <x:v>2000544178-U411</x:v>
      </x:c>
      <x:c r="C394" s="16" t="str">
        <x:v>ШКУРКА ШЛИФ. 1 С 775 30 ЛОГ 16Н М</x:v>
      </x:c>
      <x:c r="D394" s="16" t="str">
        <x:v>Инструмент и спецоснастка</x:v>
      </x:c>
      <x:c r="E394" s="16" t="str">
        <x:v>М2</x:v>
      </x:c>
      <x:c r="F394" s="29" t="n">
        <x:v>1.31</x:v>
      </x:c>
      <x:c r="G394" s="17" t="n">
        <x:v>230.0066</x:v>
      </x:c>
      <x:c r="H394" s="17" t="n">
        <x:f>G394*F394</x:f>
        <x:v>301.308646</x:v>
      </x:c>
      <x:c r="I394" s="22" t="str">
        <x:f>HYPERLINK("https://etp-aktiv.ru/catalog/materialy/instrument-i-specosnastka/2000544178-U411/","Открыть позицию")</x:f>
        <x:v>Открыть позицию</x:v>
      </x:c>
    </x:row>
    <x:row r="395" ht="28" customHeight="1">
      <x:c r="A395" s="16" t="str">
        <x:v>Ново-Кемеровская ТЭЦ</x:v>
      </x:c>
      <x:c r="B395" s="16" t="str">
        <x:v>2000544189-U411</x:v>
      </x:c>
      <x:c r="C395" s="16" t="str">
        <x:v>ШКУРКА ШЛИФ. 2 1000ММ P150 752939 MATRIX</x:v>
      </x:c>
      <x:c r="D395" s="16" t="str">
        <x:v>Инструмент и спецоснастка</x:v>
      </x:c>
      <x:c r="E395" s="16" t="str">
        <x:v>ПМ</x:v>
      </x:c>
      <x:c r="F395" s="29" t="n">
        <x:v>1.9</x:v>
      </x:c>
      <x:c r="G395" s="17" t="n">
        <x:v>66.612</x:v>
      </x:c>
      <x:c r="H395" s="17" t="n">
        <x:f>G395*F395</x:f>
        <x:v>126.56279999999998</x:v>
      </x:c>
      <x:c r="I395" s="22" t="str">
        <x:f>HYPERLINK("https://etp-aktiv.ru/catalog/materialy/instrument-i-specosnastka/2000544189-U411/","Открыть позицию")</x:f>
        <x:v>Открыть позицию</x:v>
      </x:c>
    </x:row>
    <x:row r="396" ht="28" customHeight="1">
      <x:c r="A396" s="16" t="str">
        <x:v>Ново-Кемеровская ТЭЦ</x:v>
      </x:c>
      <x:c r="B396" s="16" t="str">
        <x:v>2000694962-U411</x:v>
      </x:c>
      <x:c r="C396" s="16" t="str">
        <x:v>ШКУРКА ШЛИФОВАЛЬНАЯ 775 KK19XW 5H</x:v>
      </x:c>
      <x:c r="D396" s="16" t="str">
        <x:v>Инструмент и спецоснастка</x:v>
      </x:c>
      <x:c r="E396" s="16" t="str">
        <x:v>ПМ</x:v>
      </x:c>
      <x:c r="F396" s="29" t="n">
        <x:v>18.8</x:v>
      </x:c>
      <x:c r="G396" s="17" t="n">
        <x:v>131.76</x:v>
      </x:c>
      <x:c r="H396" s="17" t="n">
        <x:f>G396*F396</x:f>
        <x:v>2477.0879999999997</x:v>
      </x:c>
      <x:c r="I396" s="22" t="str">
        <x:f>HYPERLINK("https://etp-aktiv.ru/catalog/materialy/instrument-i-specosnastka/2000694962-U411/","Открыть позицию")</x:f>
        <x:v>Открыть позицию</x:v>
      </x:c>
    </x:row>
    <x:row r="397" ht="28" customHeight="1">
      <x:c r="A397" s="16" t="str">
        <x:v>Ново-Кемеровская ТЭЦ</x:v>
      </x:c>
      <x:c r="B397" s="16" t="str">
        <x:v>2000138159-U411</x:v>
      </x:c>
      <x:c r="C397" s="16" t="str">
        <x:v>ШЛИФКРУГ 230*6*22 13АМ</x:v>
      </x:c>
      <x:c r="D397" s="16" t="str">
        <x:v>Инструмент и спецоснастка</x:v>
      </x:c>
      <x:c r="E397" s="16" t="str">
        <x:v>ШТ</x:v>
      </x:c>
      <x:c r="F397" s="21" t="n">
        <x:v>5</x:v>
      </x:c>
      <x:c r="G397" s="17" t="n">
        <x:v>154.32999999999998</x:v>
      </x:c>
      <x:c r="H397" s="17" t="n">
        <x:f>G397*F397</x:f>
        <x:v>771.6499999999999</x:v>
      </x:c>
      <x:c r="I397" s="22" t="str">
        <x:f>HYPERLINK("https://etp-aktiv.ru/catalog/materialy/instrument-i-specosnastka/2000138159-U411/","Открыть позицию")</x:f>
        <x:v>Открыть позицию</x:v>
      </x:c>
    </x:row>
    <x:row r="398" ht="28" customHeight="1">
      <x:c r="A398" s="16" t="str">
        <x:v>Ново-Кемеровская ТЭЦ</x:v>
      </x:c>
      <x:c r="B398" s="16" t="str">
        <x:v>2000384464-U411</x:v>
      </x:c>
      <x:c r="C398" s="16" t="str">
        <x:v>ШЛИФШКУРКА 800ММ*30М N12</x:v>
      </x:c>
      <x:c r="D398" s="16" t="str">
        <x:v>Инструмент и спецоснастка</x:v>
      </x:c>
      <x:c r="E398" s="16" t="str">
        <x:v>ПМ</x:v>
      </x:c>
      <x:c r="F398" s="29" t="n">
        <x:v>1.1</x:v>
      </x:c>
      <x:c r="G398" s="17" t="n">
        <x:v>163.5166</x:v>
      </x:c>
      <x:c r="H398" s="17" t="n">
        <x:f>G398*F398</x:f>
        <x:v>179.86826000000002</x:v>
      </x:c>
      <x:c r="I398" s="22" t="str">
        <x:f>HYPERLINK("https://etp-aktiv.ru/catalog/materialy/instrument-i-specosnastka/2000384464-U411/","Открыть позицию")</x:f>
        <x:v>Открыть позицию</x:v>
      </x:c>
    </x:row>
    <x:row r="399" ht="28" customHeight="1">
      <x:c r="A399" s="16" t="str">
        <x:v>Ново-Кемеровская ТЭЦ</x:v>
      </x:c>
      <x:c r="B399" s="16" t="str">
        <x:v>2000384478-U411</x:v>
      </x:c>
      <x:c r="C399" s="16" t="str">
        <x:v>ШЛИФШКУРКА 800ММ*30М N4</x:v>
      </x:c>
      <x:c r="D399" s="16" t="str">
        <x:v>Инструмент и спецоснастка</x:v>
      </x:c>
      <x:c r="E399" s="16" t="str">
        <x:v>ПМ</x:v>
      </x:c>
      <x:c r="F399" s="21" t="n">
        <x:v>20</x:v>
      </x:c>
      <x:c r="G399" s="17" t="n">
        <x:v>269.01</x:v>
      </x:c>
      <x:c r="H399" s="17" t="n">
        <x:f>G399*F399</x:f>
        <x:v>5380.2</x:v>
      </x:c>
      <x:c r="I399" s="22" t="str">
        <x:f>HYPERLINK("https://etp-aktiv.ru/catalog/materialy/instrument-i-specosnastka/2000384478-U411/","Открыть позицию")</x:f>
        <x:v>Открыть позицию</x:v>
      </x:c>
    </x:row>
    <x:row r="400" ht="28" customHeight="1">
      <x:c r="A400" s="16" t="str">
        <x:v>Ново-Кемеровская ТЭЦ</x:v>
      </x:c>
      <x:c r="B400" s="16" t="str">
        <x:v>2000046149-U411</x:v>
      </x:c>
      <x:c r="C400" s="16" t="str">
        <x:v>ШЛИФШКУРКА НА ТКАНИ 16 ЭН ГОСТ5009-82</x:v>
      </x:c>
      <x:c r="D400" s="16" t="str">
        <x:v>Инструмент и спецоснастка</x:v>
      </x:c>
      <x:c r="E400" s="16" t="str">
        <x:v>ПМ</x:v>
      </x:c>
      <x:c r="F400" s="21" t="n">
        <x:v>39</x:v>
      </x:c>
      <x:c r="G400" s="17" t="n">
        <x:v>116.6686</x:v>
      </x:c>
      <x:c r="H400" s="17" t="n">
        <x:f>G400*F400</x:f>
        <x:v>4550.0754</x:v>
      </x:c>
      <x:c r="I400" s="22" t="str">
        <x:f>HYPERLINK("https://etp-aktiv.ru/catalog/materialy/instrument-i-specosnastka/2000046149-U411/","Открыть позицию")</x:f>
        <x:v>Открыть позицию</x:v>
      </x:c>
    </x:row>
    <x:row r="401" ht="28" customHeight="1">
      <x:c r="A401" s="16" t="str">
        <x:v>Ново-Кемеровская ТЭЦ</x:v>
      </x:c>
      <x:c r="B401" s="16" t="str">
        <x:v>2000692777-U411</x:v>
      </x:c>
      <x:c r="C401" s="16" t="str">
        <x:v>ШПОНКА Д-6300-27-3 У150.02.30-01</x:v>
      </x:c>
      <x:c r="D401" s="16" t="str">
        <x:v>Запасные части к насосам</x:v>
      </x:c>
      <x:c r="E401" s="16" t="str">
        <x:v>ШТ</x:v>
      </x:c>
      <x:c r="F401" s="21" t="n">
        <x:v>1</x:v>
      </x:c>
      <x:c r="G401" s="17" t="n">
        <x:v>930.9698</x:v>
      </x:c>
      <x:c r="H401" s="17" t="n">
        <x:f>G401*F401</x:f>
        <x:v>930.9698</x:v>
      </x:c>
      <x:c r="I401" s="22" t="str">
        <x:f>HYPERLINK("https://etp-aktiv.ru/catalog/materialy/zapasnye-chasti-promyshlennogo-oborudovaniya/2000692777-U411/","Открыть позицию")</x:f>
        <x:v>Открыть позицию</x:v>
      </x:c>
    </x:row>
    <x:row r="402" ht="28" customHeight="1">
      <x:c r="A402" s="16" t="str">
        <x:v>Теплоэнергетик</x:v>
      </x:c>
      <x:c r="B402" s="16" t="str">
        <x:v>2000156894-U911</x:v>
      </x:c>
      <x:c r="C402" s="16" t="str">
        <x:v>ШЛИФКРУГ 200*20*32</x:v>
      </x:c>
      <x:c r="D402" s="16" t="str">
        <x:v>Инструмент и спецоснастка</x:v>
      </x:c>
      <x:c r="E402" s="16" t="str">
        <x:v>ШТ</x:v>
      </x:c>
      <x:c r="F402" s="21" t="n">
        <x:v>2</x:v>
      </x:c>
      <x:c r="G402" s="17" t="n">
        <x:v>37.7102</x:v>
      </x:c>
      <x:c r="H402" s="17" t="n">
        <x:f>G402*F402</x:f>
        <x:v>75.4204</x:v>
      </x:c>
      <x:c r="I402" s="22" t="str">
        <x:f>HYPERLINK("https://etp-aktiv.ru/catalog/materialy/instrument-i-specosnastka/2000156894-U911/","Открыть позицию")</x:f>
        <x:v>Открыть позицию</x:v>
      </x:c>
    </x:row>
    <x:row r="403" ht="28" customHeight="1">
      <x:c r="A403" s="16" t="str">
        <x:v>Томь-Усинская ГРЭС</x:v>
      </x:c>
      <x:c r="B403" s="16" t="str">
        <x:v>5000028640-U111</x:v>
      </x:c>
      <x:c r="C403" s="16" t="str">
        <x:v>АГР НАС Х80-50-160Д 11/380/3000</x:v>
      </x:c>
      <x:c r="D403" s="16" t="str">
        <x:v>Насосы центробежные химические</x:v>
      </x:c>
      <x:c r="E403" s="16" t="str">
        <x:v>ШТ</x:v>
      </x:c>
      <x:c r="F403" s="21" t="n">
        <x:v>1</x:v>
      </x:c>
      <x:c r="G403" s="17" t="n">
        <x:v>45750</x:v>
      </x:c>
      <x:c r="H403" s="17" t="n">
        <x:f>G403*F403</x:f>
        <x:v>45750</x:v>
      </x:c>
      <x:c r="I403" s="22" t="str">
        <x:f>HYPERLINK("https://etp-aktiv.ru/catalog/materialy/nasosno-kompressornoe-oborudovanie/5000028640-U111/","Открыть позицию")</x:f>
        <x:v>Открыть позицию</x:v>
      </x:c>
    </x:row>
    <x:row r="404" ht="28" customHeight="1">
      <x:c r="A404" s="16" t="str">
        <x:v>Томь-Усинская ГРЭС</x:v>
      </x:c>
      <x:c r="B404" s="16" t="str">
        <x:v>2000959910-U111</x:v>
      </x:c>
      <x:c r="C404" s="16" t="str">
        <x:v>ВАЛ ВЕНТИЛЯТОРА 181288</x:v>
      </x:c>
      <x:c r="D404" s="16" t="str">
        <x:v>Запасные части к вентиляционному оборудованию</x:v>
      </x:c>
      <x:c r="E404" s="16" t="str">
        <x:v>ШТ</x:v>
      </x:c>
      <x:c r="F404" s="21" t="n">
        <x:v>1</x:v>
      </x:c>
      <x:c r="G404" s="17" t="n">
        <x:v>117208.755</x:v>
      </x:c>
      <x:c r="H404" s="17" t="n">
        <x:f>G404*F404</x:f>
        <x:v>117208.755</x:v>
      </x:c>
      <x:c r="I404" s="22" t="str">
        <x:f>HYPERLINK("https://etp-aktiv.ru/catalog/materialy/zapasnye-chasti-promyshlennogo-oborudovaniya/2000959910-U111/","Открыть позицию")</x:f>
        <x:v>Открыть позицию</x:v>
      </x:c>
    </x:row>
    <x:row r="405" ht="28" customHeight="1">
      <x:c r="A405" s="16" t="str">
        <x:v>Томь-Усинская ГРЭС</x:v>
      </x:c>
      <x:c r="B405" s="16" t="str">
        <x:v>2000282975-U111</x:v>
      </x:c>
      <x:c r="C405" s="16" t="str">
        <x:v>ВАЛИК 48*240ММ STAYER MASTER 0320-24</x:v>
      </x:c>
      <x:c r="D405" s="16" t="str">
        <x:v>Инструмент и спецоснастка</x:v>
      </x:c>
      <x:c r="E405" s="16" t="str">
        <x:v>ШТ</x:v>
      </x:c>
      <x:c r="F405" s="21" t="n">
        <x:v>6</x:v>
      </x:c>
      <x:c r="G405" s="17" t="n">
        <x:v>235.03300000000002</x:v>
      </x:c>
      <x:c r="H405" s="17" t="n">
        <x:f>G405*F405</x:f>
        <x:v>1410.198</x:v>
      </x:c>
      <x:c r="I405" s="22" t="str">
        <x:f>HYPERLINK("https://etp-aktiv.ru/catalog/materialy/instrument-i-specosnastka/2000282975-U111/","Открыть позицию")</x:f>
        <x:v>Открыть позицию</x:v>
      </x:c>
    </x:row>
    <x:row r="406" ht="28" customHeight="1">
      <x:c r="A406" s="16" t="str">
        <x:v>Томь-Усинская ГРЭС</x:v>
      </x:c>
      <x:c r="B406" s="16" t="str">
        <x:v>2000695117-U111</x:v>
      </x:c>
      <x:c r="C406" s="16" t="str">
        <x:v>ВТУЛКА ГИДРОП ПЭ380-200 Н17.59.108.02Р</x:v>
      </x:c>
      <x:c r="D406" s="16" t="str">
        <x:v>Запасные части к энергетическим насосам</x:v>
      </x:c>
      <x:c r="E406" s="16" t="str">
        <x:v>ШТ</x:v>
      </x:c>
      <x:c r="F406" s="21" t="n">
        <x:v>1</x:v>
      </x:c>
      <x:c r="G406" s="17" t="n">
        <x:v>48037.5</x:v>
      </x:c>
      <x:c r="H406" s="17" t="n">
        <x:f>G406*F406</x:f>
        <x:v>48037.5</x:v>
      </x:c>
      <x:c r="I406" s="22" t="str">
        <x:f>HYPERLINK("https://etp-aktiv.ru/catalog/materialy/zapasnye-chasti-promyshlennogo-oborudovaniya/2000695117-U111/","Открыть позицию")</x:f>
        <x:v>Открыть позицию</x:v>
      </x:c>
    </x:row>
    <x:row r="407" ht="28" customHeight="1">
      <x:c r="A407" s="16" t="str">
        <x:v>Томь-Усинская ГРЭС</x:v>
      </x:c>
      <x:c r="B407" s="16" t="str">
        <x:v>2000533512-U111</x:v>
      </x:c>
      <x:c r="C407" s="16" t="str">
        <x:v>ВТУЛКА ЗАЩИТНАЯ 819.08.13.05 СЭ</x:v>
      </x:c>
      <x:c r="D407" s="16" t="str">
        <x:v>Запасные части к насосам</x:v>
      </x:c>
      <x:c r="E407" s="16" t="str">
        <x:v>ШТ</x:v>
      </x:c>
      <x:c r="F407" s="21" t="n">
        <x:v>3</x:v>
      </x:c>
      <x:c r="G407" s="17" t="n">
        <x:v>644.038</x:v>
      </x:c>
      <x:c r="H407" s="17" t="n">
        <x:f>G407*F407</x:f>
        <x:v>1932.114</x:v>
      </x:c>
      <x:c r="I407" s="22" t="str">
        <x:f>HYPERLINK("https://etp-aktiv.ru/catalog/materialy/zapasnye-chasti-promyshlennogo-oborudovaniya/2000533512-U111/","Открыть позицию")</x:f>
        <x:v>Открыть позицию</x:v>
      </x:c>
    </x:row>
    <x:row r="408" ht="28" customHeight="1">
      <x:c r="A408" s="16" t="str">
        <x:v>Томь-Усинская ГРЭС</x:v>
      </x:c>
      <x:c r="B408" s="16" t="str">
        <x:v>2000533514-U111</x:v>
      </x:c>
      <x:c r="C408" s="16" t="str">
        <x:v>ВТУЛКА ЗАЩИТНАЯ 98-1.00.012 ГРАТ800/71</x:v>
      </x:c>
      <x:c r="D408" s="16" t="str">
        <x:v>Запасные части к шламовым насосам</x:v>
      </x:c>
      <x:c r="E408" s="16" t="str">
        <x:v>ШТ</x:v>
      </x:c>
      <x:c r="F408" s="21" t="n">
        <x:v>3</x:v>
      </x:c>
      <x:c r="G408" s="17" t="n">
        <x:v>5225.6626</x:v>
      </x:c>
      <x:c r="H408" s="17" t="n">
        <x:f>G408*F408</x:f>
        <x:v>15676.987799999999</x:v>
      </x:c>
      <x:c r="I408" s="22" t="str">
        <x:f>HYPERLINK("https://etp-aktiv.ru/catalog/materialy/zapasnye-chasti-promyshlennogo-oborudovaniya/2000533514-U111/","Открыть позицию")</x:f>
        <x:v>Открыть позицию</x:v>
      </x:c>
    </x:row>
    <x:row r="409" ht="28" customHeight="1">
      <x:c r="A409" s="16" t="str">
        <x:v>Томь-Усинская ГРЭС</x:v>
      </x:c>
      <x:c r="B409" s="16" t="str">
        <x:v>2000240085-U111</x:v>
      </x:c>
      <x:c r="C409" s="16" t="str">
        <x:v>ВТУЛКА МАСЛОНАСОСА 7548-03</x:v>
      </x:c>
      <x:c r="D409" s="16" t="str">
        <x:v>@Запасные части к насосам</x:v>
      </x:c>
      <x:c r="E409" s="16" t="str">
        <x:v>ШТ</x:v>
      </x:c>
      <x:c r="F409" s="21" t="n">
        <x:v>2</x:v>
      </x:c>
      <x:c r="G409" s="17" t="n">
        <x:v>7460.3488</x:v>
      </x:c>
      <x:c r="H409" s="17" t="n">
        <x:f>G409*F409</x:f>
        <x:v>14920.6976</x:v>
      </x:c>
      <x:c r="I409" s="22" t="str">
        <x:f>HYPERLINK("https://etp-aktiv.ru/catalog/materialy/nasosno-kompressornoe-oborudovanie/2000240085-U111/","Открыть позицию")</x:f>
        <x:v>Открыть позицию</x:v>
      </x:c>
    </x:row>
    <x:row r="410" ht="28" customHeight="1">
      <x:c r="A410" s="16" t="str">
        <x:v>Томь-Усинская ГРЭС</x:v>
      </x:c>
      <x:c r="B410" s="16" t="str">
        <x:v>2000533581-U111</x:v>
      </x:c>
      <x:c r="C410" s="16" t="str">
        <x:v>ВТУЛКА Н17.59.108.02 ПЭ580-185/200-2</x:v>
      </x:c>
      <x:c r="D410" s="16" t="str">
        <x:v>Запасные части к энергетическим насосам</x:v>
      </x:c>
      <x:c r="E410" s="16" t="str">
        <x:v>ШТ</x:v>
      </x:c>
      <x:c r="F410" s="21" t="n">
        <x:v>1</x:v>
      </x:c>
      <x:c r="G410" s="17" t="n">
        <x:v>3526.3246</x:v>
      </x:c>
      <x:c r="H410" s="17" t="n">
        <x:f>G410*F410</x:f>
        <x:v>3526.3246</x:v>
      </x:c>
      <x:c r="I410" s="22" t="str">
        <x:f>HYPERLINK("https://etp-aktiv.ru/catalog/materialy/zapasnye-chasti-promyshlennogo-oborudovaniya/2000533581-U111/","Открыть позицию")</x:f>
        <x:v>Открыть позицию</x:v>
      </x:c>
    </x:row>
    <x:row r="411" ht="28" customHeight="1">
      <x:c r="A411" s="16" t="str">
        <x:v>Томь-Усинская ГРЭС</x:v>
      </x:c>
      <x:c r="B411" s="16" t="str">
        <x:v>M2000219283-U111</x:v>
      </x:c>
      <x:c r="C411" s="16" t="str">
        <x:v>ВТУЛКА ПЯТЫ 806.03.111-11</x:v>
      </x:c>
      <x:c r="D411" s="16" t="str">
        <x:v>Запасные части к насосам</x:v>
      </x:c>
      <x:c r="E411" s="16" t="str">
        <x:v>ШТ</x:v>
      </x:c>
      <x:c r="F411" s="21" t="n">
        <x:v>4</x:v>
      </x:c>
      <x:c r="G411" s="17" t="n">
        <x:v>999.3142</x:v>
      </x:c>
      <x:c r="H411" s="17" t="n">
        <x:f>G411*F411</x:f>
        <x:v>3997.2568</x:v>
      </x:c>
      <x:c r="I411" s="22" t="str">
        <x:f>HYPERLINK("https://etp-aktiv.ru/catalog/materialy/zapasnye-chasti-promyshlennogo-oborudovaniya/M2000219283-U111/","Открыть позицию")</x:f>
        <x:v>Открыть позицию</x:v>
      </x:c>
    </x:row>
    <x:row r="412" ht="28" customHeight="1">
      <x:c r="A412" s="16" t="str">
        <x:v>Томь-Усинская ГРЭС</x:v>
      </x:c>
      <x:c r="B412" s="16" t="str">
        <x:v>2000691749-U111</x:v>
      </x:c>
      <x:c r="C412" s="16" t="str">
        <x:v>ДИСК Д/ТРИММЕРА 5784425-01</x:v>
      </x:c>
      <x:c r="D412" s="16" t="str">
        <x:v>Инструмент и спецоснастка</x:v>
      </x:c>
      <x:c r="E412" s="16" t="str">
        <x:v>ШТ</x:v>
      </x:c>
      <x:c r="F412" s="21" t="n">
        <x:v>1</x:v>
      </x:c>
      <x:c r="G412" s="17" t="n">
        <x:v>1611.864</x:v>
      </x:c>
      <x:c r="H412" s="17" t="n">
        <x:f>G412*F412</x:f>
        <x:v>1611.864</x:v>
      </x:c>
      <x:c r="I412" s="22" t="str">
        <x:f>HYPERLINK("https://etp-aktiv.ru/catalog/materialy/instrument-i-specosnastka/2000691749-U111/","Открыть позицию")</x:f>
        <x:v>Открыть позицию</x:v>
      </x:c>
    </x:row>
    <x:row r="413" ht="28" customHeight="1">
      <x:c r="A413" s="16" t="str">
        <x:v>Томь-Усинская ГРЭС</x:v>
      </x:c>
      <x:c r="B413" s="16" t="str">
        <x:v>2000617986-U111</x:v>
      </x:c>
      <x:c r="C413" s="16" t="str">
        <x:v>ЗАЖИМ ТРОСОВЫЙ D13ММ DIN741</x:v>
      </x:c>
      <x:c r="D413" s="16" t="str">
        <x:v>Такелажные изделия</x:v>
      </x:c>
      <x:c r="E413" s="16" t="str">
        <x:v>ШТ</x:v>
      </x:c>
      <x:c r="F413" s="21" t="n">
        <x:v>5</x:v>
      </x:c>
      <x:c r="G413" s="17" t="n">
        <x:v>22.875</x:v>
      </x:c>
      <x:c r="H413" s="17" t="n">
        <x:f>G413*F413</x:f>
        <x:v>114.375</x:v>
      </x:c>
      <x:c r="I413" s="22" t="str">
        <x:f>HYPERLINK("https://etp-aktiv.ru/catalog/materialy/zapasnye-chasti-k-gruzopodemnoj-tekhnike-oborudovaniyu-i-mekhanizmam/2000617986-U111/","Открыть позицию")</x:f>
        <x:v>Открыть позицию</x:v>
      </x:c>
    </x:row>
    <x:row r="414" ht="28" customHeight="1">
      <x:c r="A414" s="16" t="str">
        <x:v>Томь-Усинская ГРЭС</x:v>
      </x:c>
      <x:c r="B414" s="16" t="str">
        <x:v>2000563770-U111</x:v>
      </x:c>
      <x:c r="C414" s="16" t="str">
        <x:v>ЗВЕНО ПЕРЕХОДНОЕ П-ПР 25,4 60 ГОСТ13568</x:v>
      </x:c>
      <x:c r="D414" s="16" t="str">
        <x:v>Приводные цепи и комплектующие</x:v>
      </x:c>
      <x:c r="E414" s="16" t="str">
        <x:v>ШТ</x:v>
      </x:c>
      <x:c r="F414" s="21" t="n">
        <x:v>40</x:v>
      </x:c>
      <x:c r="G414" s="17" t="n">
        <x:v>88.755</x:v>
      </x:c>
      <x:c r="H414" s="17" t="n">
        <x:f>G414*F414</x:f>
        <x:v>3550.2</x:v>
      </x:c>
      <x:c r="I414" s="22" t="str">
        <x:f>HYPERLINK("https://etp-aktiv.ru/catalog/materialy/zapasnye-chasti-promyshlennogo-oborudovaniya/2000563770-U111/","Открыть позицию")</x:f>
        <x:v>Открыть позицию</x:v>
      </x:c>
    </x:row>
    <x:row r="415" ht="28" customHeight="1">
      <x:c r="A415" s="16" t="str">
        <x:v>Томь-Усинская ГРЭС</x:v>
      </x:c>
      <x:c r="B415" s="16" t="str">
        <x:v>2000000862-U111</x:v>
      </x:c>
      <x:c r="C415" s="16" t="str">
        <x:v>КАНАТ 10,5 ГВН 1770 ГОСТ3077-80</x:v>
      </x:c>
      <x:c r="D415" s="16" t="str">
        <x:v>Канаты стальные</x:v>
      </x:c>
      <x:c r="E415" s="16" t="str">
        <x:v>М</x:v>
      </x:c>
      <x:c r="F415" s="21" t="n">
        <x:v>50</x:v>
      </x:c>
      <x:c r="G415" s="17" t="n">
        <x:v>157.4532</x:v>
      </x:c>
      <x:c r="H415" s="17" t="n">
        <x:f>G415*F415</x:f>
        <x:v>7872.660000000001</x:v>
      </x:c>
      <x:c r="I415" s="22" t="str">
        <x:f>HYPERLINK("https://etp-aktiv.ru/catalog/materialy/metizy/2000000862-U111/","Открыть позицию")</x:f>
        <x:v>Открыть позицию</x:v>
      </x:c>
    </x:row>
    <x:row r="416" ht="28" customHeight="1">
      <x:c r="A416" s="16" t="str">
        <x:v>Томь-Усинская ГРЭС</x:v>
      </x:c>
      <x:c r="B416" s="16" t="str">
        <x:v>2000002049-U111</x:v>
      </x:c>
      <x:c r="C416" s="16" t="str">
        <x:v>КАНАТ 13,5 ГВКНР 1670 ГОСТ3071-80</x:v>
      </x:c>
      <x:c r="D416" s="16" t="str">
        <x:v>Канаты стальные</x:v>
      </x:c>
      <x:c r="E416" s="16" t="str">
        <x:v>М</x:v>
      </x:c>
      <x:c r="F416" s="21" t="n">
        <x:v>50</x:v>
      </x:c>
      <x:c r="G416" s="17" t="n">
        <x:v>262.1536</x:v>
      </x:c>
      <x:c r="H416" s="17" t="n">
        <x:f>G416*F416</x:f>
        <x:v>13107.679999999998</x:v>
      </x:c>
      <x:c r="I416" s="22" t="str">
        <x:f>HYPERLINK("https://etp-aktiv.ru/catalog/materialy/metizy/2000002049-U111/","Открыть позицию")</x:f>
        <x:v>Открыть позицию</x:v>
      </x:c>
    </x:row>
    <x:row r="417" ht="28" customHeight="1">
      <x:c r="A417" s="16" t="str">
        <x:v>Томь-Усинская ГРЭС</x:v>
      </x:c>
      <x:c r="B417" s="16" t="str">
        <x:v>2000560066-U111</x:v>
      </x:c>
      <x:c r="C417" s="16" t="str">
        <x:v>КАНАТ 6,2 ГВКНТР 1770 ГОСТ2688-80</x:v>
      </x:c>
      <x:c r="D417" s="16" t="str">
        <x:v>Канаты стальные</x:v>
      </x:c>
      <x:c r="E417" s="16" t="str">
        <x:v>М</x:v>
      </x:c>
      <x:c r="F417" s="21" t="n">
        <x:v>18</x:v>
      </x:c>
      <x:c r="G417" s="17" t="n">
        <x:v>77.592</x:v>
      </x:c>
      <x:c r="H417" s="17" t="n">
        <x:f>G417*F417</x:f>
        <x:v>1396.656</x:v>
      </x:c>
      <x:c r="I417" s="22" t="str">
        <x:f>HYPERLINK("https://etp-aktiv.ru/catalog/materialy/metizy/2000560066-U111/","Открыть позицию")</x:f>
        <x:v>Открыть позицию</x:v>
      </x:c>
    </x:row>
    <x:row r="418" ht="28" customHeight="1">
      <x:c r="A418" s="16" t="str">
        <x:v>Томь-Усинская ГРЭС</x:v>
      </x:c>
      <x:c r="B418" s="16" t="str">
        <x:v>2000000689-U111</x:v>
      </x:c>
      <x:c r="C418" s="16" t="str">
        <x:v>КАНАТ 8,3 ГВН 1770 ГОСТ2688-80</x:v>
      </x:c>
      <x:c r="D418" s="16" t="str">
        <x:v>Канаты стальные</x:v>
      </x:c>
      <x:c r="E418" s="16" t="str">
        <x:v>М</x:v>
      </x:c>
      <x:c r="F418" s="21" t="n">
        <x:v>50</x:v>
      </x:c>
      <x:c r="G418" s="17" t="n">
        <x:v>86.19300000000001</x:v>
      </x:c>
      <x:c r="H418" s="17" t="n">
        <x:f>G418*F418</x:f>
        <x:v>4309.650000000001</x:v>
      </x:c>
      <x:c r="I418" s="22" t="str">
        <x:f>HYPERLINK("https://etp-aktiv.ru/catalog/materialy/metizy/2000000689-U111/","Открыть позицию")</x:f>
        <x:v>Открыть позицию</x:v>
      </x:c>
    </x:row>
    <x:row r="419" ht="28" customHeight="1">
      <x:c r="A419" s="16" t="str">
        <x:v>Томь-Усинская ГРЭС</x:v>
      </x:c>
      <x:c r="B419" s="16" t="str">
        <x:v>2001002458-U111</x:v>
      </x:c>
      <x:c r="C419" s="16" t="str">
        <x:v>КОЛЕСО ПЭ580-185/200-2 Н17.59.102.00СБ</x:v>
      </x:c>
      <x:c r="D419" s="16" t="str">
        <x:v>Запасные части к энергетическим насосам</x:v>
      </x:c>
      <x:c r="E419" s="16" t="str">
        <x:v>ШТ</x:v>
      </x:c>
      <x:c r="F419" s="21" t="n">
        <x:v>10</x:v>
      </x:c>
      <x:c r="G419" s="17" t="n">
        <x:v>137738</x:v>
      </x:c>
      <x:c r="H419" s="17" t="n">
        <x:f>G419*F419</x:f>
        <x:v>1377380</x:v>
      </x:c>
      <x:c r="I419" s="22" t="str">
        <x:f>HYPERLINK("https://etp-aktiv.ru/catalog/materialy/zapasnye-chasti-promyshlennogo-oborudovaniya/2001002458-U111/","Открыть позицию")</x:f>
        <x:v>Открыть позицию</x:v>
      </x:c>
    </x:row>
    <x:row r="420" ht="28" customHeight="1">
      <x:c r="A420" s="16" t="str">
        <x:v>Томь-Усинская ГРЭС</x:v>
      </x:c>
      <x:c r="B420" s="16" t="str">
        <x:v>2000139322-U111</x:v>
      </x:c>
      <x:c r="C420" s="16" t="str">
        <x:v>КОЛЕСО РАБОЧЕЕ Н03.3.324.01.01.001</x:v>
      </x:c>
      <x:c r="D420" s="16" t="str">
        <x:v>Запасные части к энергетическим насосам</x:v>
      </x:c>
      <x:c r="E420" s="16" t="str">
        <x:v>ШТ</x:v>
      </x:c>
      <x:c r="F420" s="21" t="n">
        <x:v>0</x:v>
      </x:c>
      <x:c r="G420" s="17" t="n">
        <x:v>24440.357600000003</x:v>
      </x:c>
      <x:c r="H420" s="17" t="n">
        <x:f>G420*F420</x:f>
        <x:v>0</x:v>
      </x:c>
      <x:c r="I420" s="22" t="str">
        <x:f>HYPERLINK("https://etp-aktiv.ru/catalog/materialy/zapasnye-chasti-promyshlennogo-oborudovaniya/2000139322-U111/","Открыть позицию")</x:f>
        <x:v>Открыть позицию</x:v>
      </x:c>
    </x:row>
    <x:row r="421" ht="28" customHeight="1">
      <x:c r="A421" s="16" t="str">
        <x:v>Томь-Усинская ГРЭС</x:v>
      </x:c>
      <x:c r="B421" s="16" t="str">
        <x:v>2000533901-U111</x:v>
      </x:c>
      <x:c r="C421" s="16" t="str">
        <x:v>КОЛЕСО РАБОЧЕЕ Н03.629.01.01.002 Д630-90</x:v>
      </x:c>
      <x:c r="D421" s="16" t="str">
        <x:v>Запасные части к энергетическим насосам</x:v>
      </x:c>
      <x:c r="E421" s="16" t="str">
        <x:v>ШТ</x:v>
      </x:c>
      <x:c r="F421" s="21" t="n">
        <x:v>1</x:v>
      </x:c>
      <x:c r="G421" s="17" t="n">
        <x:v>71871.8226</x:v>
      </x:c>
      <x:c r="H421" s="17" t="n">
        <x:f>G421*F421</x:f>
        <x:v>71871.8226</x:v>
      </x:c>
      <x:c r="I421" s="22" t="str">
        <x:f>HYPERLINK("https://etp-aktiv.ru/catalog/materialy/zapasnye-chasti-promyshlennogo-oborudovaniya/2000533901-U111/","Открыть позицию")</x:f>
        <x:v>Открыть позицию</x:v>
      </x:c>
    </x:row>
    <x:row r="422" ht="28" customHeight="1">
      <x:c r="A422" s="16" t="str">
        <x:v>Томь-Усинская ГРЭС</x:v>
      </x:c>
      <x:c r="B422" s="16" t="str">
        <x:v>2000644292-U111</x:v>
      </x:c>
      <x:c r="C422" s="16" t="str">
        <x:v>КРУГ 1-63*20*20 63С 40C СМ V 35М/С 1КЛ</x:v>
      </x:c>
      <x:c r="D422" s="16" t="str">
        <x:v>Инструмент и спецоснастка</x:v>
      </x:c>
      <x:c r="E422" s="16" t="str">
        <x:v>ШТ</x:v>
      </x:c>
      <x:c r="F422" s="21" t="n">
        <x:v>239</x:v>
      </x:c>
      <x:c r="G422" s="17" t="n">
        <x:v>77.47</x:v>
      </x:c>
      <x:c r="H422" s="17" t="n">
        <x:f>G422*F422</x:f>
        <x:v>18515.329999999998</x:v>
      </x:c>
      <x:c r="I422" s="22" t="str">
        <x:f>HYPERLINK("https://etp-aktiv.ru/catalog/materialy/instrument-i-specosnastka/2000644292-U111/","Открыть позицию")</x:f>
        <x:v>Открыть позицию</x:v>
      </x:c>
    </x:row>
    <x:row r="423" ht="28" customHeight="1">
      <x:c r="A423" s="16" t="str">
        <x:v>Томь-Усинская ГРЭС</x:v>
      </x:c>
      <x:c r="B423" s="16" t="str">
        <x:v>2000138134-U111</x:v>
      </x:c>
      <x:c r="C423" s="16" t="str">
        <x:v>КРУГ ОТРЕЗНОЙ 400*4*32 13А</x:v>
      </x:c>
      <x:c r="D423" s="16" t="str">
        <x:v>Инструмент и спецоснастка</x:v>
      </x:c>
      <x:c r="E423" s="16" t="str">
        <x:v>ШТ</x:v>
      </x:c>
      <x:c r="F423" s="21" t="n">
        <x:v>41</x:v>
      </x:c>
      <x:c r="G423" s="17" t="n">
        <x:v>289.9696</x:v>
      </x:c>
      <x:c r="H423" s="17" t="n">
        <x:f>G423*F423</x:f>
        <x:v>11888.7536</x:v>
      </x:c>
      <x:c r="I423" s="22" t="str">
        <x:f>HYPERLINK("https://etp-aktiv.ru/catalog/materialy/instrument-i-specosnastka/2000138134-U111/","Открыть позицию")</x:f>
        <x:v>Открыть позицию</x:v>
      </x:c>
    </x:row>
    <x:row r="424" ht="28" customHeight="1">
      <x:c r="A424" s="16" t="str">
        <x:v>Томь-Усинская ГРЭС</x:v>
      </x:c>
      <x:c r="B424" s="16" t="str">
        <x:v>2000544128-U111</x:v>
      </x:c>
      <x:c r="C424" s="16" t="str">
        <x:v>КРУГ ШЛ 63*20*20 1(ПП) 63С 60 K,L 25СМ</x:v>
      </x:c>
      <x:c r="D424" s="16" t="str">
        <x:v>Инструмент и спецоснастка</x:v>
      </x:c>
      <x:c r="E424" s="16" t="str">
        <x:v>ШТ</x:v>
      </x:c>
      <x:c r="F424" s="21" t="n">
        <x:v>28</x:v>
      </x:c>
      <x:c r="G424" s="17" t="n">
        <x:v>78.08</x:v>
      </x:c>
      <x:c r="H424" s="17" t="n">
        <x:f>G424*F424</x:f>
        <x:v>2186.24</x:v>
      </x:c>
      <x:c r="I424" s="22" t="str">
        <x:f>HYPERLINK("https://etp-aktiv.ru/catalog/materialy/instrument-i-specosnastka/2000544128-U111/","Открыть позицию")</x:f>
        <x:v>Открыть позицию</x:v>
      </x:c>
    </x:row>
    <x:row r="425" ht="28" customHeight="1">
      <x:c r="A425" s="16" t="str">
        <x:v>Томь-Усинская ГРЭС</x:v>
      </x:c>
      <x:c r="B425" s="16" t="str">
        <x:v>2000544151-U111</x:v>
      </x:c>
      <x:c r="C425" s="16" t="str">
        <x:v>КРУГ ШЛИФОВАЛЬНЫЙ 25*32*6 63С 12 Т1 ПП</x:v>
      </x:c>
      <x:c r="D425" s="16" t="str">
        <x:v>Инструмент и спецоснастка</x:v>
      </x:c>
      <x:c r="E425" s="16" t="str">
        <x:v>ШТ</x:v>
      </x:c>
      <x:c r="F425" s="21" t="n">
        <x:v>8</x:v>
      </x:c>
      <x:c r="G425" s="17" t="n">
        <x:v>31.11</x:v>
      </x:c>
      <x:c r="H425" s="17" t="n">
        <x:f>G425*F425</x:f>
        <x:v>248.88</x:v>
      </x:c>
      <x:c r="I425" s="22" t="str">
        <x:f>HYPERLINK("https://etp-aktiv.ru/catalog/materialy/instrument-i-specosnastka/2000544151-U111/","Открыть позицию")</x:f>
        <x:v>Открыть позицию</x:v>
      </x:c>
    </x:row>
    <x:row r="426" ht="28" customHeight="1">
      <x:c r="A426" s="16" t="str">
        <x:v>Томь-Усинская ГРЭС</x:v>
      </x:c>
      <x:c r="B426" s="16" t="str">
        <x:v>2000544242-U111</x:v>
      </x:c>
      <x:c r="C426" s="16" t="str">
        <x:v>КРУГ ШЛИФОВАЛЬНЫЙ 80*20*20 14А 63</x:v>
      </x:c>
      <x:c r="D426" s="16" t="str">
        <x:v>Инструмент и спецоснастка</x:v>
      </x:c>
      <x:c r="E426" s="16" t="str">
        <x:v>ШТ</x:v>
      </x:c>
      <x:c r="F426" s="21" t="n">
        <x:v>58</x:v>
      </x:c>
      <x:c r="G426" s="17" t="n">
        <x:v>130.0032</x:v>
      </x:c>
      <x:c r="H426" s="17" t="n">
        <x:f>G426*F426</x:f>
        <x:v>7540.1856</x:v>
      </x:c>
      <x:c r="I426" s="22" t="str">
        <x:f>HYPERLINK("https://etp-aktiv.ru/catalog/materialy/instrument-i-specosnastka/2000544242-U111/","Открыть позицию")</x:f>
        <x:v>Открыть позицию</x:v>
      </x:c>
    </x:row>
    <x:row r="427" ht="28" customHeight="1">
      <x:c r="A427" s="16" t="str">
        <x:v>Томь-Усинская ГРЭС</x:v>
      </x:c>
      <x:c r="B427" s="16" t="str">
        <x:v>2000245767-U111</x:v>
      </x:c>
      <x:c r="C427" s="16" t="str">
        <x:v>МАНЖЕТА Н42.878.01.00.016</x:v>
      </x:c>
      <x:c r="D427" s="16" t="str">
        <x:v>Запасные части к энергетическим насосам</x:v>
      </x:c>
      <x:c r="E427" s="16" t="str">
        <x:v>ШТ</x:v>
      </x:c>
      <x:c r="F427" s="21" t="n">
        <x:v>4</x:v>
      </x:c>
      <x:c r="G427" s="17" t="n">
        <x:v>390.3634</x:v>
      </x:c>
      <x:c r="H427" s="17" t="n">
        <x:f>G427*F427</x:f>
        <x:v>1561.4536</x:v>
      </x:c>
      <x:c r="I427" s="22" t="str">
        <x:f>HYPERLINK("https://etp-aktiv.ru/catalog/materialy/zapasnye-chasti-promyshlennogo-oborudovaniya/2000245767-U111/","Открыть позицию")</x:f>
        <x:v>Открыть позицию</x:v>
      </x:c>
    </x:row>
    <x:row r="428" ht="28" customHeight="1">
      <x:c r="A428" s="16" t="str">
        <x:v>Томь-Усинская ГРЭС</x:v>
      </x:c>
      <x:c r="B428" s="16" t="str">
        <x:v>2000869618-U111</x:v>
      </x:c>
      <x:c r="C428" s="16" t="str">
        <x:v>МУФТА УПРУГАЯ 200-К-2676СБ</x:v>
      </x:c>
      <x:c r="D428" s="16" t="str">
        <x:v>Запасные части к вентиляционному оборудованию</x:v>
      </x:c>
      <x:c r="E428" s="16" t="str">
        <x:v>ШТ</x:v>
      </x:c>
      <x:c r="F428" s="21" t="n">
        <x:v>1</x:v>
      </x:c>
      <x:c r="G428" s="17" t="n">
        <x:v>159210</x:v>
      </x:c>
      <x:c r="H428" s="17" t="n">
        <x:f>G428*F428</x:f>
        <x:v>159210</x:v>
      </x:c>
      <x:c r="I428" s="22" t="str">
        <x:f>HYPERLINK("https://etp-aktiv.ru/catalog/materialy/zapasnye-chasti-promyshlennogo-oborudovaniya/2000869618-U111/","Открыть позицию")</x:f>
        <x:v>Открыть позицию</x:v>
      </x:c>
    </x:row>
    <x:row r="429" ht="28" customHeight="1">
      <x:c r="A429" s="16" t="str">
        <x:v>Томь-Усинская ГРЭС</x:v>
      </x:c>
      <x:c r="B429" s="16" t="str">
        <x:v>2000378809-U111</x:v>
      </x:c>
      <x:c r="C429" s="16" t="str">
        <x:v>НАБОР КЛЮЧЕЙ LICOTA AWT-ESFK01 14ПР</x:v>
      </x:c>
      <x:c r="D429" s="16" t="str">
        <x:v>Инструмент и спецоснастка</x:v>
      </x:c>
      <x:c r="E429" s="16" t="str">
        <x:v>ШТ</x:v>
      </x:c>
      <x:c r="F429" s="21" t="n">
        <x:v>1</x:v>
      </x:c>
      <x:c r="G429" s="17" t="n">
        <x:v>2081.442</x:v>
      </x:c>
      <x:c r="H429" s="17" t="n">
        <x:f>G429*F429</x:f>
        <x:v>2081.442</x:v>
      </x:c>
      <x:c r="I429" s="22" t="str">
        <x:f>HYPERLINK("https://etp-aktiv.ru/catalog/materialy/instrument-i-specosnastka/2000378809-U111/","Открыть позицию")</x:f>
        <x:v>Открыть позицию</x:v>
      </x:c>
    </x:row>
    <x:row r="430" ht="28" customHeight="1">
      <x:c r="A430" s="16" t="str">
        <x:v>Томь-Усинская ГРЭС</x:v>
      </x:c>
      <x:c r="B430" s="16" t="str">
        <x:v>2000360723-U111</x:v>
      </x:c>
      <x:c r="C430" s="16" t="str">
        <x:v>НАБОР ШОФЕРСКОГО ИНСТРУМ 6-36ММ НИЗ N3А</x:v>
      </x:c>
      <x:c r="D430" s="16" t="str">
        <x:v>Инструмент и спецоснастка</x:v>
      </x:c>
      <x:c r="E430" s="16" t="str">
        <x:v>ШТ</x:v>
      </x:c>
      <x:c r="F430" s="21" t="n">
        <x:v>1</x:v>
      </x:c>
      <x:c r="G430" s="17" t="n">
        <x:v>2758.725</x:v>
      </x:c>
      <x:c r="H430" s="17" t="n">
        <x:f>G430*F430</x:f>
        <x:v>2758.725</x:v>
      </x:c>
      <x:c r="I430" s="22" t="str">
        <x:f>HYPERLINK("https://etp-aktiv.ru/catalog/materialy/instrument-i-specosnastka/2000360723-U111/","Открыть позицию")</x:f>
        <x:v>Открыть позицию</x:v>
      </x:c>
    </x:row>
    <x:row r="431" ht="28" customHeight="1">
      <x:c r="A431" s="16" t="str">
        <x:v>Томь-Усинская ГРЭС</x:v>
      </x:c>
      <x:c r="B431" s="16" t="str">
        <x:v>5000102645-U111</x:v>
      </x:c>
      <x:c r="C431" s="16" t="str">
        <x:v>НАСОС GRUNDFOS DWK.O.13.150.150.5.0D</x:v>
      </x:c>
      <x:c r="D431" s="16" t="str">
        <x:v>Насосы погружные энергетические</x:v>
      </x:c>
      <x:c r="E431" s="16" t="str">
        <x:v>ШТ</x:v>
      </x:c>
      <x:c r="F431" s="21" t="n">
        <x:v>1</x:v>
      </x:c>
      <x:c r="G431" s="17" t="n">
        <x:v>223031.25</x:v>
      </x:c>
      <x:c r="H431" s="17" t="n">
        <x:f>G431*F431</x:f>
        <x:v>223031.25</x:v>
      </x:c>
      <x:c r="I431" s="22" t="str">
        <x:f>HYPERLINK("https://etp-aktiv.ru/catalog/materialy/nasosno-kompressornoe-oborudovanie/5000102645-U111/","Открыть позицию")</x:f>
        <x:v>Открыть позицию</x:v>
      </x:c>
    </x:row>
    <x:row r="432" ht="28" customHeight="1">
      <x:c r="A432" s="16" t="str">
        <x:v>Томь-Усинская ГРЭС</x:v>
      </x:c>
      <x:c r="B432" s="16" t="str">
        <x:v>2000171037-U111</x:v>
      </x:c>
      <x:c r="C432" s="16" t="str">
        <x:v>ОБОЙМА ТУСЭ 5000.00.00.004</x:v>
      </x:c>
      <x:c r="D432" s="16" t="str">
        <x:v>Запасные части к энергетическим насосам</x:v>
      </x:c>
      <x:c r="E432" s="16" t="str">
        <x:v>ШТ</x:v>
      </x:c>
      <x:c r="F432" s="21" t="n">
        <x:v>2</x:v>
      </x:c>
      <x:c r="G432" s="17" t="n">
        <x:v>19520</x:v>
      </x:c>
      <x:c r="H432" s="17" t="n">
        <x:f>G432*F432</x:f>
        <x:v>39040</x:v>
      </x:c>
      <x:c r="I432" s="22" t="str">
        <x:f>HYPERLINK("https://etp-aktiv.ru/catalog/materialy/zapasnye-chasti-promyshlennogo-oborudovaniya/2000171037-U111/","Открыть позицию")</x:f>
        <x:v>Открыть позицию</x:v>
      </x:c>
    </x:row>
    <x:row r="433" ht="28" customHeight="1">
      <x:c r="A433" s="16" t="str">
        <x:v>Томь-Усинская ГРЭС</x:v>
      </x:c>
      <x:c r="B433" s="16" t="str">
        <x:v>2000116340-U111</x:v>
      </x:c>
      <x:c r="C433" s="16" t="str">
        <x:v>ПОДШИПНИК 1000908</x:v>
      </x:c>
      <x:c r="D433" s="16" t="str">
        <x:v>Подшипники</x:v>
      </x:c>
      <x:c r="E433" s="16" t="str">
        <x:v>ШТ</x:v>
      </x:c>
      <x:c r="F433" s="21" t="n">
        <x:v>6</x:v>
      </x:c>
      <x:c r="G433" s="17" t="n">
        <x:v>77.9336</x:v>
      </x:c>
      <x:c r="H433" s="17" t="n">
        <x:f>G433*F433</x:f>
        <x:v>467.60159999999996</x:v>
      </x:c>
      <x:c r="I433" s="22" t="str">
        <x:f>HYPERLINK("https://etp-aktiv.ru/catalog/materialy/podshipniki/2000116340-U111/","Открыть позицию")</x:f>
        <x:v>Открыть позицию</x:v>
      </x:c>
    </x:row>
    <x:row r="434" ht="28" customHeight="1">
      <x:c r="A434" s="16" t="str">
        <x:v>Томь-Усинская ГРЭС</x:v>
      </x:c>
      <x:c r="B434" s="16" t="str">
        <x:v>2000034237-U111</x:v>
      </x:c>
      <x:c r="C434" s="16" t="str">
        <x:v>ПОДШИПНИК 1000918</x:v>
      </x:c>
      <x:c r="D434" s="16" t="str">
        <x:v>Подшипники</x:v>
      </x:c>
      <x:c r="E434" s="16" t="str">
        <x:v>ШТ</x:v>
      </x:c>
      <x:c r="F434" s="21" t="n">
        <x:v>4</x:v>
      </x:c>
      <x:c r="G434" s="17" t="n">
        <x:v>826.6231999999999</x:v>
      </x:c>
      <x:c r="H434" s="17" t="n">
        <x:f>G434*F434</x:f>
        <x:v>3306.4927999999995</x:v>
      </x:c>
      <x:c r="I434" s="22" t="str">
        <x:f>HYPERLINK("https://etp-aktiv.ru/catalog/materialy/podshipniki/2000034237-U111/","Открыть позицию")</x:f>
        <x:v>Открыть позицию</x:v>
      </x:c>
    </x:row>
    <x:row r="435" ht="28" customHeight="1">
      <x:c r="A435" s="16" t="str">
        <x:v>Томь-Усинская ГРЭС</x:v>
      </x:c>
      <x:c r="B435" s="16" t="str">
        <x:v>2000116471-U111</x:v>
      </x:c>
      <x:c r="C435" s="16" t="str">
        <x:v>ПОДШИПНИК 118</x:v>
      </x:c>
      <x:c r="D435" s="16" t="str">
        <x:v>Подшипники</x:v>
      </x:c>
      <x:c r="E435" s="16" t="str">
        <x:v>ШТ</x:v>
      </x:c>
      <x:c r="F435" s="21" t="n">
        <x:v>9</x:v>
      </x:c>
      <x:c r="G435" s="17" t="n">
        <x:v>442.66479999999996</x:v>
      </x:c>
      <x:c r="H435" s="17" t="n">
        <x:f>G435*F435</x:f>
        <x:v>3983.9831999999997</x:v>
      </x:c>
      <x:c r="I435" s="22" t="str">
        <x:f>HYPERLINK("https://etp-aktiv.ru/catalog/materialy/podshipniki/2000116471-U111/","Открыть позицию")</x:f>
        <x:v>Открыть позицию</x:v>
      </x:c>
    </x:row>
    <x:row r="436" ht="28" customHeight="1">
      <x:c r="A436" s="16" t="str">
        <x:v>Томь-Усинская ГРЭС</x:v>
      </x:c>
      <x:c r="B436" s="16" t="str">
        <x:v>2000116309-U111</x:v>
      </x:c>
      <x:c r="C436" s="16" t="str">
        <x:v>ПОДШИПНИК 180201</x:v>
      </x:c>
      <x:c r="D436" s="16" t="str">
        <x:v>Подшипники</x:v>
      </x:c>
      <x:c r="E436" s="16" t="str">
        <x:v>ШТ</x:v>
      </x:c>
      <x:c r="F436" s="21" t="n">
        <x:v>5</x:v>
      </x:c>
      <x:c r="G436" s="17" t="n">
        <x:v>15.2378</x:v>
      </x:c>
      <x:c r="H436" s="17" t="n">
        <x:f>G436*F436</x:f>
        <x:v>76.189</x:v>
      </x:c>
      <x:c r="I436" s="22" t="str">
        <x:f>HYPERLINK("https://etp-aktiv.ru/catalog/materialy/podshipniki/2000116309-U111/","Открыть позицию")</x:f>
        <x:v>Открыть позицию</x:v>
      </x:c>
    </x:row>
    <x:row r="437" ht="28" customHeight="1">
      <x:c r="A437" s="16" t="str">
        <x:v>Томь-Усинская ГРЭС</x:v>
      </x:c>
      <x:c r="B437" s="16" t="str">
        <x:v>2000116860-U111</x:v>
      </x:c>
      <x:c r="C437" s="16" t="str">
        <x:v>ПОДШИПНИК 180211</x:v>
      </x:c>
      <x:c r="D437" s="16" t="str">
        <x:v>Подшипники</x:v>
      </x:c>
      <x:c r="E437" s="16" t="str">
        <x:v>ШТ</x:v>
      </x:c>
      <x:c r="F437" s="21" t="n">
        <x:v>1</x:v>
      </x:c>
      <x:c r="G437" s="17" t="n">
        <x:v>182.2192</x:v>
      </x:c>
      <x:c r="H437" s="17" t="n">
        <x:f>G437*F437</x:f>
        <x:v>182.2192</x:v>
      </x:c>
      <x:c r="I437" s="22" t="str">
        <x:f>HYPERLINK("https://etp-aktiv.ru/catalog/materialy/podshipniki/2000116860-U111/","Открыть позицию")</x:f>
        <x:v>Открыть позицию</x:v>
      </x:c>
    </x:row>
    <x:row r="438" ht="28" customHeight="1">
      <x:c r="A438" s="16" t="str">
        <x:v>Томь-Усинская ГРЭС</x:v>
      </x:c>
      <x:c r="B438" s="16" t="str">
        <x:v>2000171895-U111</x:v>
      </x:c>
      <x:c r="C438" s="16" t="str">
        <x:v>ПОДШИПНИК 180405</x:v>
      </x:c>
      <x:c r="D438" s="16" t="str">
        <x:v>Подшипники</x:v>
      </x:c>
      <x:c r="E438" s="16" t="str">
        <x:v>ШТ</x:v>
      </x:c>
      <x:c r="F438" s="21" t="n">
        <x:v>12</x:v>
      </x:c>
      <x:c r="G438" s="17" t="n">
        <x:v>209.4862</x:v>
      </x:c>
      <x:c r="H438" s="17" t="n">
        <x:f>G438*F438</x:f>
        <x:v>2513.8343999999997</x:v>
      </x:c>
      <x:c r="I438" s="22" t="str">
        <x:f>HYPERLINK("https://etp-aktiv.ru/catalog/materialy/podshipniki/2000171895-U111/","Открыть позицию")</x:f>
        <x:v>Открыть позицию</x:v>
      </x:c>
    </x:row>
    <x:row r="439" ht="28" customHeight="1">
      <x:c r="A439" s="16" t="str">
        <x:v>Томь-Усинская ГРЭС</x:v>
      </x:c>
      <x:c r="B439" s="16" t="str">
        <x:v>2000556559-U111</x:v>
      </x:c>
      <x:c r="C439" s="16" t="str">
        <x:v>ПОДШИПНИК 180512</x:v>
      </x:c>
      <x:c r="D439" s="16" t="str">
        <x:v>Подшипники</x:v>
      </x:c>
      <x:c r="E439" s="16" t="str">
        <x:v>ШТ</x:v>
      </x:c>
      <x:c r="F439" s="21" t="n">
        <x:v>6</x:v>
      </x:c>
      <x:c r="G439" s="17" t="n">
        <x:v>375.211</x:v>
      </x:c>
      <x:c r="H439" s="17" t="n">
        <x:f>G439*F439</x:f>
        <x:v>2251.266</x:v>
      </x:c>
      <x:c r="I439" s="22" t="str">
        <x:f>HYPERLINK("https://etp-aktiv.ru/catalog/materialy/podshipniki/2000556559-U111/","Открыть позицию")</x:f>
        <x:v>Открыть позицию</x:v>
      </x:c>
    </x:row>
    <x:row r="440" ht="28" customHeight="1">
      <x:c r="A440" s="16" t="str">
        <x:v>Томь-Усинская ГРЭС</x:v>
      </x:c>
      <x:c r="B440" s="16" t="str">
        <x:v>2000116380-U111</x:v>
      </x:c>
      <x:c r="C440" s="16" t="str">
        <x:v>ПОДШИПНИК 180605</x:v>
      </x:c>
      <x:c r="D440" s="16" t="str">
        <x:v>Подшипники</x:v>
      </x:c>
      <x:c r="E440" s="16" t="str">
        <x:v>ШТ</x:v>
      </x:c>
      <x:c r="F440" s="21" t="n">
        <x:v>49</x:v>
      </x:c>
      <x:c r="G440" s="17" t="n">
        <x:v>98.46619999999999</x:v>
      </x:c>
      <x:c r="H440" s="17" t="n">
        <x:f>G440*F440</x:f>
        <x:v>4824.8438</x:v>
      </x:c>
      <x:c r="I440" s="22" t="str">
        <x:f>HYPERLINK("https://etp-aktiv.ru/catalog/materialy/podshipniki/2000116380-U111/","Открыть позицию")</x:f>
        <x:v>Открыть позицию</x:v>
      </x:c>
    </x:row>
    <x:row r="441" ht="28" customHeight="1">
      <x:c r="A441" s="16" t="str">
        <x:v>Томь-Усинская ГРЭС</x:v>
      </x:c>
      <x:c r="B441" s="16" t="str">
        <x:v>2000116495-U111</x:v>
      </x:c>
      <x:c r="C441" s="16" t="str">
        <x:v>ПОДШИПНИК 180610</x:v>
      </x:c>
      <x:c r="D441" s="16" t="str">
        <x:v>Подшипники</x:v>
      </x:c>
      <x:c r="E441" s="16" t="str">
        <x:v>ШТ</x:v>
      </x:c>
      <x:c r="F441" s="21" t="n">
        <x:v>2</x:v>
      </x:c>
      <x:c r="G441" s="17" t="n">
        <x:v>475.93420000000003</x:v>
      </x:c>
      <x:c r="H441" s="17" t="n">
        <x:f>G441*F441</x:f>
        <x:v>951.8684000000001</x:v>
      </x:c>
      <x:c r="I441" s="22" t="str">
        <x:f>HYPERLINK("https://etp-aktiv.ru/catalog/materialy/podshipniki/2000116495-U111/","Открыть позицию")</x:f>
        <x:v>Открыть позицию</x:v>
      </x:c>
    </x:row>
    <x:row r="442" ht="28" customHeight="1">
      <x:c r="A442" s="16" t="str">
        <x:v>Томь-Усинская ГРЭС</x:v>
      </x:c>
      <x:c r="B442" s="16" t="str">
        <x:v>2000116546-U111</x:v>
      </x:c>
      <x:c r="C442" s="16" t="str">
        <x:v>ПОДШИПНИК 180612</x:v>
      </x:c>
      <x:c r="D442" s="16" t="str">
        <x:v>Подшипники</x:v>
      </x:c>
      <x:c r="E442" s="16" t="str">
        <x:v>ШТ</x:v>
      </x:c>
      <x:c r="F442" s="21" t="n">
        <x:v>2</x:v>
      </x:c>
      <x:c r="G442" s="17" t="n">
        <x:v>754.1064</x:v>
      </x:c>
      <x:c r="H442" s="17" t="n">
        <x:f>G442*F442</x:f>
        <x:v>1508.2128</x:v>
      </x:c>
      <x:c r="I442" s="22" t="str">
        <x:f>HYPERLINK("https://etp-aktiv.ru/catalog/materialy/podshipniki/2000116546-U111/","Открыть позицию")</x:f>
        <x:v>Открыть позицию</x:v>
      </x:c>
    </x:row>
    <x:row r="443" ht="28" customHeight="1">
      <x:c r="A443" s="16" t="str">
        <x:v>Томь-Усинская ГРЭС</x:v>
      </x:c>
      <x:c r="B443" s="16" t="str">
        <x:v>2000116773-U111</x:v>
      </x:c>
      <x:c r="C443" s="16" t="str">
        <x:v>ПОДШИПНИК 2007144</x:v>
      </x:c>
      <x:c r="D443" s="16" t="str">
        <x:v>Подшипники</x:v>
      </x:c>
      <x:c r="E443" s="16" t="str">
        <x:v>ШТ</x:v>
      </x:c>
      <x:c r="F443" s="21" t="n">
        <x:v>2</x:v>
      </x:c>
      <x:c r="G443" s="17" t="n">
        <x:v>5497.551799999999</x:v>
      </x:c>
      <x:c r="H443" s="17" t="n">
        <x:f>G443*F443</x:f>
        <x:v>10995.103599999999</x:v>
      </x:c>
      <x:c r="I443" s="22" t="str">
        <x:f>HYPERLINK("https://etp-aktiv.ru/catalog/materialy/podshipniki/2000116773-U111/","Открыть позицию")</x:f>
        <x:v>Открыть позицию</x:v>
      </x:c>
    </x:row>
    <x:row r="444" ht="28" customHeight="1">
      <x:c r="A444" s="16" t="str">
        <x:v>Томь-Усинская ГРЭС</x:v>
      </x:c>
      <x:c r="B444" s="16" t="str">
        <x:v>2000127006-U111</x:v>
      </x:c>
      <x:c r="C444" s="16" t="str">
        <x:v>ПОДШИПНИК 201</x:v>
      </x:c>
      <x:c r="D444" s="16" t="str">
        <x:v>Подшипники</x:v>
      </x:c>
      <x:c r="E444" s="16" t="str">
        <x:v>ШТ</x:v>
      </x:c>
      <x:c r="F444" s="21" t="n">
        <x:v>3</x:v>
      </x:c>
      <x:c r="G444" s="17" t="n">
        <x:v>16.0308</x:v>
      </x:c>
      <x:c r="H444" s="17" t="n">
        <x:f>G444*F444</x:f>
        <x:v>48.0924</x:v>
      </x:c>
      <x:c r="I444" s="22" t="str">
        <x:f>HYPERLINK("https://etp-aktiv.ru/catalog/materialy/podshipniki/2000127006-U111/","Открыть позицию")</x:f>
        <x:v>Открыть позицию</x:v>
      </x:c>
    </x:row>
    <x:row r="445" ht="28" customHeight="1">
      <x:c r="A445" s="16" t="str">
        <x:v>Томь-Усинская ГРЭС</x:v>
      </x:c>
      <x:c r="B445" s="16" t="str">
        <x:v>2000183316-U111</x:v>
      </x:c>
      <x:c r="C445" s="16" t="str">
        <x:v>ПОДШИПНИК 211А</x:v>
      </x:c>
      <x:c r="D445" s="16" t="str">
        <x:v>Подшипники</x:v>
      </x:c>
      <x:c r="E445" s="16" t="str">
        <x:v>ШТ</x:v>
      </x:c>
      <x:c r="F445" s="21" t="n">
        <x:v>2</x:v>
      </x:c>
      <x:c r="G445" s="17" t="n">
        <x:v>158.5024</x:v>
      </x:c>
      <x:c r="H445" s="17" t="n">
        <x:f>G445*F445</x:f>
        <x:v>317.0048</x:v>
      </x:c>
      <x:c r="I445" s="22" t="str">
        <x:f>HYPERLINK("https://etp-aktiv.ru/catalog/materialy/podshipniki/2000183316-U111/","Открыть позицию")</x:f>
        <x:v>Открыть позицию</x:v>
      </x:c>
    </x:row>
    <x:row r="446" ht="28" customHeight="1">
      <x:c r="A446" s="16" t="str">
        <x:v>Томь-Усинская ГРЭС</x:v>
      </x:c>
      <x:c r="B446" s="16" t="str">
        <x:v>2000116459-U111</x:v>
      </x:c>
      <x:c r="C446" s="16" t="str">
        <x:v>ПОДШИПНИК 216</x:v>
      </x:c>
      <x:c r="D446" s="16" t="str">
        <x:v>Подшипники</x:v>
      </x:c>
      <x:c r="E446" s="16" t="str">
        <x:v>ШТ</x:v>
      </x:c>
      <x:c r="F446" s="21" t="n">
        <x:v>1</x:v>
      </x:c>
      <x:c r="G446" s="17" t="n">
        <x:v>838.75</x:v>
      </x:c>
      <x:c r="H446" s="17" t="n">
        <x:f>G446*F446</x:f>
        <x:v>838.75</x:v>
      </x:c>
      <x:c r="I446" s="22" t="str">
        <x:f>HYPERLINK("https://etp-aktiv.ru/catalog/materialy/podshipniki/2000116459-U111/","Открыть позицию")</x:f>
        <x:v>Открыть позицию</x:v>
      </x:c>
    </x:row>
    <x:row r="447" ht="28" customHeight="1">
      <x:c r="A447" s="16" t="str">
        <x:v>Томь-Усинская ГРЭС</x:v>
      </x:c>
      <x:c r="B447" s="16" t="str">
        <x:v>2000997780-U111</x:v>
      </x:c>
      <x:c r="C447" s="16" t="str">
        <x:v>ПОДШИПНИК 218 Ш2</x:v>
      </x:c>
      <x:c r="D447" s="16" t="str">
        <x:v>Подшипники</x:v>
      </x:c>
      <x:c r="E447" s="16" t="str">
        <x:v>ШТ</x:v>
      </x:c>
      <x:c r="F447" s="21" t="n">
        <x:v>16</x:v>
      </x:c>
      <x:c r="G447" s="17" t="n">
        <x:v>781.41</x:v>
      </x:c>
      <x:c r="H447" s="17" t="n">
        <x:f>G447*F447</x:f>
        <x:v>12502.56</x:v>
      </x:c>
      <x:c r="I447" s="22" t="str">
        <x:f>HYPERLINK("https://etp-aktiv.ru/catalog/materialy/podshipniki/2000997780-U111/","Открыть позицию")</x:f>
        <x:v>Открыть позицию</x:v>
      </x:c>
    </x:row>
    <x:row r="448" ht="28" customHeight="1">
      <x:c r="A448" s="16" t="str">
        <x:v>Томь-Усинская ГРЭС</x:v>
      </x:c>
      <x:c r="B448" s="16" t="str">
        <x:v>2000116579-U111</x:v>
      </x:c>
      <x:c r="C448" s="16" t="str">
        <x:v>ПОДШИПНИК 222</x:v>
      </x:c>
      <x:c r="D448" s="16" t="str">
        <x:v>Подшипники</x:v>
      </x:c>
      <x:c r="E448" s="16" t="str">
        <x:v>ШТ</x:v>
      </x:c>
      <x:c r="F448" s="21" t="n">
        <x:v>1</x:v>
      </x:c>
      <x:c r="G448" s="17" t="n">
        <x:v>873.8249999999999</x:v>
      </x:c>
      <x:c r="H448" s="17" t="n">
        <x:f>G448*F448</x:f>
        <x:v>873.8249999999999</x:v>
      </x:c>
      <x:c r="I448" s="22" t="str">
        <x:f>HYPERLINK("https://etp-aktiv.ru/catalog/materialy/podshipniki/2000116579-U111/","Открыть позицию")</x:f>
        <x:v>Открыть позицию</x:v>
      </x:c>
    </x:row>
    <x:row r="449" ht="28" customHeight="1">
      <x:c r="A449" s="16" t="str">
        <x:v>Томь-Усинская ГРЭС</x:v>
      </x:c>
      <x:c r="B449" s="16" t="str">
        <x:v>2000116625-U111</x:v>
      </x:c>
      <x:c r="C449" s="16" t="str">
        <x:v>ПОДШИПНИК 2224</x:v>
      </x:c>
      <x:c r="D449" s="16" t="str">
        <x:v>Подшипники</x:v>
      </x:c>
      <x:c r="E449" s="16" t="str">
        <x:v>ШТ</x:v>
      </x:c>
      <x:c r="F449" s="21" t="n">
        <x:v>3</x:v>
      </x:c>
      <x:c r="G449" s="17" t="n">
        <x:v>1783.4691999999998</x:v>
      </x:c>
      <x:c r="H449" s="17" t="n">
        <x:f>G449*F449</x:f>
        <x:v>5350.4076</x:v>
      </x:c>
      <x:c r="I449" s="22" t="str">
        <x:f>HYPERLINK("https://etp-aktiv.ru/catalog/materialy/podshipniki/2000116625-U111/","Открыть позицию")</x:f>
        <x:v>Открыть позицию</x:v>
      </x:c>
    </x:row>
    <x:row r="450" ht="28" customHeight="1">
      <x:c r="A450" s="16" t="str">
        <x:v>Томь-Усинская ГРЭС</x:v>
      </x:c>
      <x:c r="B450" s="16" t="str">
        <x:v>2000003928-U111</x:v>
      </x:c>
      <x:c r="C450" s="16" t="str">
        <x:v>ПОДШИПНИК 2306</x:v>
      </x:c>
      <x:c r="D450" s="16" t="str">
        <x:v>Подшипники</x:v>
      </x:c>
      <x:c r="E450" s="16" t="str">
        <x:v>ШТ</x:v>
      </x:c>
      <x:c r="F450" s="21" t="n">
        <x:v>3</x:v>
      </x:c>
      <x:c r="G450" s="17" t="n">
        <x:v>227.57879999999997</x:v>
      </x:c>
      <x:c r="H450" s="17" t="n">
        <x:f>G450*F450</x:f>
        <x:v>682.7363999999999</x:v>
      </x:c>
      <x:c r="I450" s="22" t="str">
        <x:f>HYPERLINK("https://etp-aktiv.ru/catalog/materialy/podshipniki/2000003928-U111/","Открыть позицию")</x:f>
        <x:v>Открыть позицию</x:v>
      </x:c>
    </x:row>
    <x:row r="451" ht="28" customHeight="1">
      <x:c r="A451" s="16" t="str">
        <x:v>Томь-Усинская ГРЭС</x:v>
      </x:c>
      <x:c r="B451" s="16" t="str">
        <x:v>2000115345-U111</x:v>
      </x:c>
      <x:c r="C451" s="16" t="str">
        <x:v>ПОДШИПНИК 2311</x:v>
      </x:c>
      <x:c r="D451" s="16" t="str">
        <x:v>Подшипники</x:v>
      </x:c>
      <x:c r="E451" s="16" t="str">
        <x:v>ШТ</x:v>
      </x:c>
      <x:c r="F451" s="21" t="n">
        <x:v>2</x:v>
      </x:c>
      <x:c r="G451" s="17" t="n">
        <x:v>531.2002</x:v>
      </x:c>
      <x:c r="H451" s="17" t="n">
        <x:f>G451*F451</x:f>
        <x:v>1062.4004</x:v>
      </x:c>
      <x:c r="I451" s="22" t="str">
        <x:f>HYPERLINK("https://etp-aktiv.ru/catalog/materialy/podshipniki/2000115345-U111/","Открыть позицию")</x:f>
        <x:v>Открыть позицию</x:v>
      </x:c>
    </x:row>
    <x:row r="452" ht="28" customHeight="1">
      <x:c r="A452" s="16" t="str">
        <x:v>Томь-Усинская ГРЭС</x:v>
      </x:c>
      <x:c r="B452" s="16" t="str">
        <x:v>2000116520-U111</x:v>
      </x:c>
      <x:c r="C452" s="16" t="str">
        <x:v>ПОДШИПНИК 2312</x:v>
      </x:c>
      <x:c r="D452" s="16" t="str">
        <x:v>Подшипники</x:v>
      </x:c>
      <x:c r="E452" s="16" t="str">
        <x:v>ШТ</x:v>
      </x:c>
      <x:c r="F452" s="21" t="n">
        <x:v>1</x:v>
      </x:c>
      <x:c r="G452" s="17" t="n">
        <x:v>968.68</x:v>
      </x:c>
      <x:c r="H452" s="17" t="n">
        <x:f>G452*F452</x:f>
        <x:v>968.68</x:v>
      </x:c>
      <x:c r="I452" s="22" t="str">
        <x:f>HYPERLINK("https://etp-aktiv.ru/catalog/materialy/podshipniki/2000116520-U111/","Открыть позицию")</x:f>
        <x:v>Открыть позицию</x:v>
      </x:c>
    </x:row>
    <x:row r="453" ht="28" customHeight="1">
      <x:c r="A453" s="16" t="str">
        <x:v>Томь-Усинская ГРЭС</x:v>
      </x:c>
      <x:c r="B453" s="16" t="str">
        <x:v>2000116573-U111</x:v>
      </x:c>
      <x:c r="C453" s="16" t="str">
        <x:v>ПОДШИПНИК 2315</x:v>
      </x:c>
      <x:c r="D453" s="16" t="str">
        <x:v>Подшипники</x:v>
      </x:c>
      <x:c r="E453" s="16" t="str">
        <x:v>ШТ</x:v>
      </x:c>
      <x:c r="F453" s="21" t="n">
        <x:v>1</x:v>
      </x:c>
      <x:c r="G453" s="17" t="n">
        <x:v>873.3736</x:v>
      </x:c>
      <x:c r="H453" s="17" t="n">
        <x:f>G453*F453</x:f>
        <x:v>873.3736</x:v>
      </x:c>
      <x:c r="I453" s="22" t="str">
        <x:f>HYPERLINK("https://etp-aktiv.ru/catalog/materialy/podshipniki/2000116573-U111/","Открыть позицию")</x:f>
        <x:v>Открыть позицию</x:v>
      </x:c>
    </x:row>
    <x:row r="454" ht="28" customHeight="1">
      <x:c r="A454" s="16" t="str">
        <x:v>Томь-Усинская ГРЭС</x:v>
      </x:c>
      <x:c r="B454" s="16" t="str">
        <x:v>2000116620-U111</x:v>
      </x:c>
      <x:c r="C454" s="16" t="str">
        <x:v>ПОДШИПНИК 2319</x:v>
      </x:c>
      <x:c r="D454" s="16" t="str">
        <x:v>Подшипники</x:v>
      </x:c>
      <x:c r="E454" s="16" t="str">
        <x:v>ШТ</x:v>
      </x:c>
      <x:c r="F454" s="21" t="n">
        <x:v>2</x:v>
      </x:c>
      <x:c r="G454" s="17" t="n">
        <x:v>1291.492</x:v>
      </x:c>
      <x:c r="H454" s="17" t="n">
        <x:f>G454*F454</x:f>
        <x:v>2582.984</x:v>
      </x:c>
      <x:c r="I454" s="22" t="str">
        <x:f>HYPERLINK("https://etp-aktiv.ru/catalog/materialy/podshipniki/2000116620-U111/","Открыть позицию")</x:f>
        <x:v>Открыть позицию</x:v>
      </x:c>
    </x:row>
    <x:row r="455" ht="28" customHeight="1">
      <x:c r="A455" s="16" t="str">
        <x:v>Томь-Усинская ГРЭС</x:v>
      </x:c>
      <x:c r="B455" s="16" t="str">
        <x:v>2000556594-U111</x:v>
      </x:c>
      <x:c r="C455" s="16" t="str">
        <x:v>ПОДШИПНИК 2319 КМ</x:v>
      </x:c>
      <x:c r="D455" s="16" t="str">
        <x:v>Подшипники</x:v>
      </x:c>
      <x:c r="E455" s="16" t="str">
        <x:v>ШТ</x:v>
      </x:c>
      <x:c r="F455" s="21" t="n">
        <x:v>5</x:v>
      </x:c>
      <x:c r="G455" s="17" t="n">
        <x:v>1201.6878</x:v>
      </x:c>
      <x:c r="H455" s="17" t="n">
        <x:f>G455*F455</x:f>
        <x:v>6008.438999999999</x:v>
      </x:c>
      <x:c r="I455" s="22" t="str">
        <x:f>HYPERLINK("https://etp-aktiv.ru/catalog/materialy/podshipniki/2000556594-U111/","Открыть позицию")</x:f>
        <x:v>Открыть позицию</x:v>
      </x:c>
    </x:row>
    <x:row r="456" ht="28" customHeight="1">
      <x:c r="A456" s="16" t="str">
        <x:v>Томь-Усинская ГРЭС</x:v>
      </x:c>
      <x:c r="B456" s="16" t="str">
        <x:v>2000556596-U111</x:v>
      </x:c>
      <x:c r="C456" s="16" t="str">
        <x:v>ПОДШИПНИК 2320 Л</x:v>
      </x:c>
      <x:c r="D456" s="16" t="str">
        <x:v>Подшипники</x:v>
      </x:c>
      <x:c r="E456" s="16" t="str">
        <x:v>ШТ</x:v>
      </x:c>
      <x:c r="F456" s="21" t="n">
        <x:v>12</x:v>
      </x:c>
      <x:c r="G456" s="17" t="n">
        <x:v>3964.2313999999997</x:v>
      </x:c>
      <x:c r="H456" s="17" t="n">
        <x:f>G456*F456</x:f>
        <x:v>47570.77679999999</x:v>
      </x:c>
      <x:c r="I456" s="22" t="str">
        <x:f>HYPERLINK("https://etp-aktiv.ru/catalog/materialy/podshipniki/2000556596-U111/","Открыть позицию")</x:f>
        <x:v>Открыть позицию</x:v>
      </x:c>
    </x:row>
    <x:row r="457" ht="28" customHeight="1">
      <x:c r="A457" s="16" t="str">
        <x:v>Томь-Усинская ГРЭС</x:v>
      </x:c>
      <x:c r="B457" s="16" t="str">
        <x:v>2000116846-U111</x:v>
      </x:c>
      <x:c r="C457" s="16" t="str">
        <x:v>ПОДШИПНИК 3003192</x:v>
      </x:c>
      <x:c r="D457" s="16" t="str">
        <x:v>Подшипники</x:v>
      </x:c>
      <x:c r="E457" s="16" t="str">
        <x:v>ШТ</x:v>
      </x:c>
      <x:c r="F457" s="21" t="n">
        <x:v>2</x:v>
      </x:c>
      <x:c r="G457" s="17" t="n">
        <x:v>60771.25</x:v>
      </x:c>
      <x:c r="H457" s="17" t="n">
        <x:f>G457*F457</x:f>
        <x:v>121542.5</x:v>
      </x:c>
      <x:c r="I457" s="22" t="str">
        <x:f>HYPERLINK("https://etp-aktiv.ru/catalog/materialy/podshipniki/2000116846-U111/","Открыть позицию")</x:f>
        <x:v>Открыть позицию</x:v>
      </x:c>
    </x:row>
    <x:row r="458" ht="28" customHeight="1">
      <x:c r="A458" s="16" t="str">
        <x:v>Томь-Усинская ГРЭС</x:v>
      </x:c>
      <x:c r="B458" s="16" t="str">
        <x:v>2000182489-U111</x:v>
      </x:c>
      <x:c r="C458" s="16" t="str">
        <x:v>ПОДШИПНИК 314А</x:v>
      </x:c>
      <x:c r="D458" s="16" t="str">
        <x:v>Подшипники</x:v>
      </x:c>
      <x:c r="E458" s="16" t="str">
        <x:v>ШТ</x:v>
      </x:c>
      <x:c r="F458" s="21" t="n">
        <x:v>1</x:v>
      </x:c>
      <x:c r="G458" s="17" t="n">
        <x:v>504.55539999999996</x:v>
      </x:c>
      <x:c r="H458" s="17" t="n">
        <x:f>G458*F458</x:f>
        <x:v>504.55539999999996</x:v>
      </x:c>
      <x:c r="I458" s="22" t="str">
        <x:f>HYPERLINK("https://etp-aktiv.ru/catalog/materialy/podshipniki/2000182489-U111/","Открыть позицию")</x:f>
        <x:v>Открыть позицию</x:v>
      </x:c>
    </x:row>
    <x:row r="459" ht="28" customHeight="1">
      <x:c r="A459" s="16" t="str">
        <x:v>Томь-Усинская ГРЭС</x:v>
      </x:c>
      <x:c r="B459" s="16" t="str">
        <x:v>2000009855-U111</x:v>
      </x:c>
      <x:c r="C459" s="16" t="str">
        <x:v>ПОДШИПНИК 32224</x:v>
      </x:c>
      <x:c r="D459" s="16" t="str">
        <x:v>Подшипники</x:v>
      </x:c>
      <x:c r="E459" s="16" t="str">
        <x:v>ШТ</x:v>
      </x:c>
      <x:c r="F459" s="21" t="n">
        <x:v>8</x:v>
      </x:c>
      <x:c r="G459" s="17" t="n">
        <x:v>3513.6</x:v>
      </x:c>
      <x:c r="H459" s="17" t="n">
        <x:f>G459*F459</x:f>
        <x:v>28108.8</x:v>
      </x:c>
      <x:c r="I459" s="22" t="str">
        <x:f>HYPERLINK("https://etp-aktiv.ru/catalog/materialy/podshipniki/2000009855-U111/","Открыть позицию")</x:f>
        <x:v>Открыть позицию</x:v>
      </x:c>
    </x:row>
    <x:row r="460" ht="28" customHeight="1">
      <x:c r="A460" s="16" t="str">
        <x:v>Томь-Усинская ГРЭС</x:v>
      </x:c>
      <x:c r="B460" s="16" t="str">
        <x:v>2000116653-U111</x:v>
      </x:c>
      <x:c r="C460" s="16" t="str">
        <x:v>ПОДШИПНИК 3522</x:v>
      </x:c>
      <x:c r="D460" s="16" t="str">
        <x:v>Подшипники</x:v>
      </x:c>
      <x:c r="E460" s="16" t="str">
        <x:v>ШТ</x:v>
      </x:c>
      <x:c r="F460" s="21" t="n">
        <x:v>2</x:v>
      </x:c>
      <x:c r="G460" s="17" t="n">
        <x:v>3484.747</x:v>
      </x:c>
      <x:c r="H460" s="17" t="n">
        <x:f>G460*F460</x:f>
        <x:v>6969.494</x:v>
      </x:c>
      <x:c r="I460" s="22" t="str">
        <x:f>HYPERLINK("https://etp-aktiv.ru/catalog/materialy/podshipniki/2000116653-U111/","Открыть позицию")</x:f>
        <x:v>Открыть позицию</x:v>
      </x:c>
    </x:row>
    <x:row r="461" ht="28" customHeight="1">
      <x:c r="A461" s="16" t="str">
        <x:v>Томь-Усинская ГРЭС</x:v>
      </x:c>
      <x:c r="B461" s="16" t="str">
        <x:v>2000115360-U111</x:v>
      </x:c>
      <x:c r="C461" s="16" t="str">
        <x:v>ПОДШИПНИК 3628</x:v>
      </x:c>
      <x:c r="D461" s="16" t="str">
        <x:v>Подшипники</x:v>
      </x:c>
      <x:c r="E461" s="16" t="str">
        <x:v>ШТ</x:v>
      </x:c>
      <x:c r="F461" s="21" t="n">
        <x:v>2</x:v>
      </x:c>
      <x:c r="G461" s="17" t="n">
        <x:v>5500.3456</x:v>
      </x:c>
      <x:c r="H461" s="17" t="n">
        <x:f>G461*F461</x:f>
        <x:v>11000.6912</x:v>
      </x:c>
      <x:c r="I461" s="22" t="str">
        <x:f>HYPERLINK("https://etp-aktiv.ru/catalog/materialy/podshipniki/2000115360-U111/","Открыть позицию")</x:f>
        <x:v>Открыть позицию</x:v>
      </x:c>
    </x:row>
    <x:row r="462" ht="28" customHeight="1">
      <x:c r="A462" s="16" t="str">
        <x:v>Томь-Усинская ГРЭС</x:v>
      </x:c>
      <x:c r="B462" s="16" t="str">
        <x:v>2001004960-U111</x:v>
      </x:c>
      <x:c r="C462" s="16" t="str">
        <x:v>ПОДШИПНИК 3636 Ш2</x:v>
      </x:c>
      <x:c r="D462" s="16" t="str">
        <x:v>Подшипники</x:v>
      </x:c>
      <x:c r="E462" s="16" t="str">
        <x:v>ШТ</x:v>
      </x:c>
      <x:c r="F462" s="21" t="n">
        <x:v>1</x:v>
      </x:c>
      <x:c r="G462" s="17" t="n">
        <x:v>64050</x:v>
      </x:c>
      <x:c r="H462" s="17" t="n">
        <x:f>G462*F462</x:f>
        <x:v>64050</x:v>
      </x:c>
      <x:c r="I462" s="22" t="str">
        <x:f>HYPERLINK("https://etp-aktiv.ru/catalog/materialy/podshipniki/2001004960-U111/","Открыть позицию")</x:f>
        <x:v>Открыть позицию</x:v>
      </x:c>
    </x:row>
    <x:row r="463" ht="28" customHeight="1">
      <x:c r="A463" s="16" t="str">
        <x:v>Томь-Усинская ГРЭС</x:v>
      </x:c>
      <x:c r="B463" s="16" t="str">
        <x:v>2000999195-U111</x:v>
      </x:c>
      <x:c r="C463" s="16" t="str">
        <x:v>ПОДШИПНИК 410 Ш2</x:v>
      </x:c>
      <x:c r="D463" s="16" t="str">
        <x:v>Подшипники</x:v>
      </x:c>
      <x:c r="E463" s="16" t="str">
        <x:v>ШТ</x:v>
      </x:c>
      <x:c r="F463" s="21" t="n">
        <x:v>2</x:v>
      </x:c>
      <x:c r="G463" s="17" t="n">
        <x:v>455.97499999999997</x:v>
      </x:c>
      <x:c r="H463" s="17" t="n">
        <x:f>G463*F463</x:f>
        <x:v>911.9499999999999</x:v>
      </x:c>
      <x:c r="I463" s="22" t="str">
        <x:f>HYPERLINK("https://etp-aktiv.ru/catalog/materialy/podshipniki/2000999195-U111/","Открыть позицию")</x:f>
        <x:v>Открыть позицию</x:v>
      </x:c>
    </x:row>
    <x:row r="464" ht="28" customHeight="1">
      <x:c r="A464" s="16" t="str">
        <x:v>Томь-Усинская ГРЭС</x:v>
      </x:c>
      <x:c r="B464" s="16" t="str">
        <x:v>2000116507-U111</x:v>
      </x:c>
      <x:c r="C464" s="16" t="str">
        <x:v>ПОДШИПНИК 46120</x:v>
      </x:c>
      <x:c r="D464" s="16" t="str">
        <x:v>Подшипники</x:v>
      </x:c>
      <x:c r="E464" s="16" t="str">
        <x:v>ШТ</x:v>
      </x:c>
      <x:c r="F464" s="21" t="n">
        <x:v>9</x:v>
      </x:c>
      <x:c r="G464" s="17" t="n">
        <x:v>639.4995999999999</x:v>
      </x:c>
      <x:c r="H464" s="17" t="n">
        <x:f>G464*F464</x:f>
        <x:v>5755.496399999999</x:v>
      </x:c>
      <x:c r="I464" s="22" t="str">
        <x:f>HYPERLINK("https://etp-aktiv.ru/catalog/materialy/podshipniki/2000116507-U111/","Открыть позицию")</x:f>
        <x:v>Открыть позицию</x:v>
      </x:c>
    </x:row>
    <x:row r="465" ht="28" customHeight="1">
      <x:c r="A465" s="16" t="str">
        <x:v>Томь-Усинская ГРЭС</x:v>
      </x:c>
      <x:c r="B465" s="16" t="str">
        <x:v>2000127186-U111</x:v>
      </x:c>
      <x:c r="C465" s="16" t="str">
        <x:v>ПОДШИПНИК 46212</x:v>
      </x:c>
      <x:c r="D465" s="16" t="str">
        <x:v>Подшипники</x:v>
      </x:c>
      <x:c r="E465" s="16" t="str">
        <x:v>ШТ</x:v>
      </x:c>
      <x:c r="F465" s="21" t="n">
        <x:v>4</x:v>
      </x:c>
      <x:c r="G465" s="17" t="n">
        <x:v>424.7552</x:v>
      </x:c>
      <x:c r="H465" s="17" t="n">
        <x:f>G465*F465</x:f>
        <x:v>1699.0208</x:v>
      </x:c>
      <x:c r="I465" s="22" t="str">
        <x:f>HYPERLINK("https://etp-aktiv.ru/catalog/materialy/podshipniki/2000127186-U111/","Открыть позицию")</x:f>
        <x:v>Открыть позицию</x:v>
      </x:c>
    </x:row>
    <x:row r="466" ht="28" customHeight="1">
      <x:c r="A466" s="16" t="str">
        <x:v>Томь-Усинская ГРЭС</x:v>
      </x:c>
      <x:c r="B466" s="16" t="str">
        <x:v>2000116345-U111</x:v>
      </x:c>
      <x:c r="C466" s="16" t="str">
        <x:v>ПОДШИПНИК 50306</x:v>
      </x:c>
      <x:c r="D466" s="16" t="str">
        <x:v>Подшипники</x:v>
      </x:c>
      <x:c r="E466" s="16" t="str">
        <x:v>ШТ</x:v>
      </x:c>
      <x:c r="F466" s="21" t="n">
        <x:v>3</x:v>
      </x:c>
      <x:c r="G466" s="17" t="n">
        <x:v>65.2944</x:v>
      </x:c>
      <x:c r="H466" s="17" t="n">
        <x:f>G466*F466</x:f>
        <x:v>195.8832</x:v>
      </x:c>
      <x:c r="I466" s="22" t="str">
        <x:f>HYPERLINK("https://etp-aktiv.ru/catalog/materialy/podshipniki/2000116345-U111/","Открыть позицию")</x:f>
        <x:v>Открыть позицию</x:v>
      </x:c>
    </x:row>
    <x:row r="467" ht="28" customHeight="1">
      <x:c r="A467" s="16" t="str">
        <x:v>Томь-Усинская ГРЭС</x:v>
      </x:c>
      <x:c r="B467" s="16" t="str">
        <x:v>2000843260-U111</x:v>
      </x:c>
      <x:c r="C467" s="16" t="str">
        <x:v>ПОДШИПНИК 51110</x:v>
      </x:c>
      <x:c r="D467" s="16" t="str">
        <x:v>Подшипники</x:v>
      </x:c>
      <x:c r="E467" s="16" t="str">
        <x:v>ШТ</x:v>
      </x:c>
      <x:c r="F467" s="21" t="n">
        <x:v>2</x:v>
      </x:c>
      <x:c r="G467" s="17" t="n">
        <x:v>71.37</x:v>
      </x:c>
      <x:c r="H467" s="17" t="n">
        <x:f>G467*F467</x:f>
        <x:v>142.74</x:v>
      </x:c>
      <x:c r="I467" s="22" t="str">
        <x:f>HYPERLINK("https://etp-aktiv.ru/catalog/materialy/podshipniki/2000843260-U111/","Открыть позицию")</x:f>
        <x:v>Открыть позицию</x:v>
      </x:c>
    </x:row>
    <x:row r="468" ht="28" customHeight="1">
      <x:c r="A468" s="16" t="str">
        <x:v>Томь-Усинская ГРЭС</x:v>
      </x:c>
      <x:c r="B468" s="16" t="str">
        <x:v>2000116758-U111</x:v>
      </x:c>
      <x:c r="C468" s="16" t="str">
        <x:v>ПОДШИПНИК 53526Н</x:v>
      </x:c>
      <x:c r="D468" s="16" t="str">
        <x:v>Подшипники</x:v>
      </x:c>
      <x:c r="E468" s="16" t="str">
        <x:v>ШТ</x:v>
      </x:c>
      <x:c r="F468" s="21" t="n">
        <x:v>4</x:v>
      </x:c>
      <x:c r="G468" s="17" t="n">
        <x:v>2459.7274</x:v>
      </x:c>
      <x:c r="H468" s="17" t="n">
        <x:f>G468*F468</x:f>
        <x:v>9838.9096</x:v>
      </x:c>
      <x:c r="I468" s="22" t="str">
        <x:f>HYPERLINK("https://etp-aktiv.ru/catalog/materialy/podshipniki/2000116758-U111/","Открыть позицию")</x:f>
        <x:v>Открыть позицию</x:v>
      </x:c>
    </x:row>
    <x:row r="469" ht="28" customHeight="1">
      <x:c r="A469" s="16" t="str">
        <x:v>Томь-Усинская ГРЭС</x:v>
      </x:c>
      <x:c r="B469" s="16" t="str">
        <x:v>2000138694-U111</x:v>
      </x:c>
      <x:c r="C469" s="16" t="str">
        <x:v>ПОДШИПНИК 54708</x:v>
      </x:c>
      <x:c r="D469" s="16" t="str">
        <x:v>Подшипники</x:v>
      </x:c>
      <x:c r="E469" s="16" t="str">
        <x:v>ШТ</x:v>
      </x:c>
      <x:c r="F469" s="21" t="n">
        <x:v>6</x:v>
      </x:c>
      <x:c r="G469" s="17" t="n">
        <x:v>545.5108</x:v>
      </x:c>
      <x:c r="H469" s="17" t="n">
        <x:f>G469*F469</x:f>
        <x:v>3273.0648</x:v>
      </x:c>
      <x:c r="I469" s="22" t="str">
        <x:f>HYPERLINK("https://etp-aktiv.ru/catalog/materialy/podshipniki/2000138694-U111/","Открыть позицию")</x:f>
        <x:v>Открыть позицию</x:v>
      </x:c>
    </x:row>
    <x:row r="470" ht="28" customHeight="1">
      <x:c r="A470" s="16" t="str">
        <x:v>Томь-Усинская ГРЭС</x:v>
      </x:c>
      <x:c r="B470" s="16" t="str">
        <x:v>2000183308-U111</x:v>
      </x:c>
      <x:c r="C470" s="16" t="str">
        <x:v>ПОДШИПНИК 6-307</x:v>
      </x:c>
      <x:c r="D470" s="16" t="str">
        <x:v>Подшипники</x:v>
      </x:c>
      <x:c r="E470" s="16" t="str">
        <x:v>ШТ</x:v>
      </x:c>
      <x:c r="F470" s="21" t="n">
        <x:v>34</x:v>
      </x:c>
      <x:c r="G470" s="17" t="n">
        <x:v>91.4268</x:v>
      </x:c>
      <x:c r="H470" s="17" t="n">
        <x:f>G470*F470</x:f>
        <x:v>3108.5112</x:v>
      </x:c>
      <x:c r="I470" s="22" t="str">
        <x:f>HYPERLINK("https://etp-aktiv.ru/catalog/materialy/podshipniki/2000183308-U111/","Открыть позицию")</x:f>
        <x:v>Открыть позицию</x:v>
      </x:c>
    </x:row>
    <x:row r="471" ht="28" customHeight="1">
      <x:c r="A471" s="16" t="str">
        <x:v>Томь-Усинская ГРЭС</x:v>
      </x:c>
      <x:c r="B471" s="16" t="str">
        <x:v>2000220673-U111</x:v>
      </x:c>
      <x:c r="C471" s="16" t="str">
        <x:v>ПОДШИПНИК 6-312А</x:v>
      </x:c>
      <x:c r="D471" s="16" t="str">
        <x:v>Подшипники</x:v>
      </x:c>
      <x:c r="E471" s="16" t="str">
        <x:v>ШТ</x:v>
      </x:c>
      <x:c r="F471" s="21" t="n">
        <x:v>2</x:v>
      </x:c>
      <x:c r="G471" s="17" t="n">
        <x:v>395.8168</x:v>
      </x:c>
      <x:c r="H471" s="17" t="n">
        <x:f>G471*F471</x:f>
        <x:v>791.6336</x:v>
      </x:c>
      <x:c r="I471" s="22" t="str">
        <x:f>HYPERLINK("https://etp-aktiv.ru/catalog/materialy/podshipniki/2000220673-U111/","Открыть позицию")</x:f>
        <x:v>Открыть позицию</x:v>
      </x:c>
    </x:row>
    <x:row r="472" ht="28" customHeight="1">
      <x:c r="A472" s="16" t="str">
        <x:v>Томь-Усинская ГРЭС</x:v>
      </x:c>
      <x:c r="B472" s="16" t="str">
        <x:v>2000556659-U111</x:v>
      </x:c>
      <x:c r="C472" s="16" t="str">
        <x:v>ПОДШИПНИК 6-326</x:v>
      </x:c>
      <x:c r="D472" s="16" t="str">
        <x:v>Подшипники</x:v>
      </x:c>
      <x:c r="E472" s="16" t="str">
        <x:v>ШТ</x:v>
      </x:c>
      <x:c r="F472" s="21" t="n">
        <x:v>3</x:v>
      </x:c>
      <x:c r="G472" s="17" t="n">
        <x:v>5599.2998</x:v>
      </x:c>
      <x:c r="H472" s="17" t="n">
        <x:f>G472*F472</x:f>
        <x:v>16797.8994</x:v>
      </x:c>
      <x:c r="I472" s="22" t="str">
        <x:f>HYPERLINK("https://etp-aktiv.ru/catalog/materialy/podshipniki/2000556659-U111/","Открыть позицию")</x:f>
        <x:v>Открыть позицию</x:v>
      </x:c>
    </x:row>
    <x:row r="473" ht="28" customHeight="1">
      <x:c r="A473" s="16" t="str">
        <x:v>Томь-Усинская ГРЭС</x:v>
      </x:c>
      <x:c r="B473" s="16" t="str">
        <x:v>2000183378-U111</x:v>
      </x:c>
      <x:c r="C473" s="16" t="str">
        <x:v>ПОДШИПНИК 6-7514А</x:v>
      </x:c>
      <x:c r="D473" s="16" t="str">
        <x:v>Подшипники</x:v>
      </x:c>
      <x:c r="E473" s="16" t="str">
        <x:v>ШТ</x:v>
      </x:c>
      <x:c r="F473" s="21" t="n">
        <x:v>5</x:v>
      </x:c>
      <x:c r="G473" s="17" t="n">
        <x:v>299.4002</x:v>
      </x:c>
      <x:c r="H473" s="17" t="n">
        <x:f>G473*F473</x:f>
        <x:v>1497.001</x:v>
      </x:c>
      <x:c r="I473" s="22" t="str">
        <x:f>HYPERLINK("https://etp-aktiv.ru/catalog/materialy/podshipniki/2000183378-U111/","Открыть позицию")</x:f>
        <x:v>Открыть позицию</x:v>
      </x:c>
    </x:row>
    <x:row r="474" ht="28" customHeight="1">
      <x:c r="A474" s="16" t="str">
        <x:v>Томь-Усинская ГРЭС</x:v>
      </x:c>
      <x:c r="B474" s="16" t="str">
        <x:v>2000034559-U111</x:v>
      </x:c>
      <x:c r="C474" s="16" t="str">
        <x:v>ПОДШИПНИК 6020</x:v>
      </x:c>
      <x:c r="D474" s="16" t="str">
        <x:v>Подшипники</x:v>
      </x:c>
      <x:c r="E474" s="16" t="str">
        <x:v>ШТ</x:v>
      </x:c>
      <x:c r="F474" s="21" t="n">
        <x:v>3</x:v>
      </x:c>
      <x:c r="G474" s="17" t="n">
        <x:v>422.73</x:v>
      </x:c>
      <x:c r="H474" s="17" t="n">
        <x:f>G474*F474</x:f>
        <x:v>1268.19</x:v>
      </x:c>
      <x:c r="I474" s="22" t="str">
        <x:f>HYPERLINK("https://etp-aktiv.ru/catalog/materialy/podshipniki/2000034559-U111/","Открыть позицию")</x:f>
        <x:v>Открыть позицию</x:v>
      </x:c>
    </x:row>
    <x:row r="475" ht="28" customHeight="1">
      <x:c r="A475" s="16" t="str">
        <x:v>Томь-Усинская ГРЭС</x:v>
      </x:c>
      <x:c r="B475" s="16" t="str">
        <x:v>2000116331-U111</x:v>
      </x:c>
      <x:c r="C475" s="16" t="str">
        <x:v>ПОДШИПНИК 60305</x:v>
      </x:c>
      <x:c r="D475" s="16" t="str">
        <x:v>Подшипники</x:v>
      </x:c>
      <x:c r="E475" s="16" t="str">
        <x:v>ШТ</x:v>
      </x:c>
      <x:c r="F475" s="21" t="n">
        <x:v>5</x:v>
      </x:c>
      <x:c r="G475" s="17" t="n">
        <x:v>59.975199999999994</x:v>
      </x:c>
      <x:c r="H475" s="17" t="n">
        <x:f>G475*F475</x:f>
        <x:v>299.876</x:v>
      </x:c>
      <x:c r="I475" s="22" t="str">
        <x:f>HYPERLINK("https://etp-aktiv.ru/catalog/materialy/podshipniki/2000116331-U111/","Открыть позицию")</x:f>
        <x:v>Открыть позицию</x:v>
      </x:c>
    </x:row>
    <x:row r="476" ht="28" customHeight="1">
      <x:c r="A476" s="16" t="str">
        <x:v>Томь-Усинская ГРЭС</x:v>
      </x:c>
      <x:c r="B476" s="16" t="str">
        <x:v>2000116394-U111</x:v>
      </x:c>
      <x:c r="C476" s="16" t="str">
        <x:v>ПОДШИПНИК 60308</x:v>
      </x:c>
      <x:c r="D476" s="16" t="str">
        <x:v>Подшипники</x:v>
      </x:c>
      <x:c r="E476" s="16" t="str">
        <x:v>ШТ</x:v>
      </x:c>
      <x:c r="F476" s="21" t="n">
        <x:v>2</x:v>
      </x:c>
      <x:c r="G476" s="17" t="n">
        <x:v>168.78699999999998</x:v>
      </x:c>
      <x:c r="H476" s="17" t="n">
        <x:f>G476*F476</x:f>
        <x:v>337.57399999999996</x:v>
      </x:c>
      <x:c r="I476" s="22" t="str">
        <x:f>HYPERLINK("https://etp-aktiv.ru/catalog/materialy/podshipniki/2000116394-U111/","Открыть позицию")</x:f>
        <x:v>Открыть позицию</x:v>
      </x:c>
    </x:row>
    <x:row r="477" ht="28" customHeight="1">
      <x:c r="A477" s="16" t="str">
        <x:v>Томь-Усинская ГРЭС</x:v>
      </x:c>
      <x:c r="B477" s="16" t="str">
        <x:v>2000116432-U111</x:v>
      </x:c>
      <x:c r="C477" s="16" t="str">
        <x:v>ПОДШИПНИК 60310</x:v>
      </x:c>
      <x:c r="D477" s="16" t="str">
        <x:v>Подшипники</x:v>
      </x:c>
      <x:c r="E477" s="16" t="str">
        <x:v>ШТ</x:v>
      </x:c>
      <x:c r="F477" s="21" t="n">
        <x:v>25</x:v>
      </x:c>
      <x:c r="G477" s="17" t="n">
        <x:v>290.0062</x:v>
      </x:c>
      <x:c r="H477" s="17" t="n">
        <x:f>G477*F477</x:f>
        <x:v>7250.155</x:v>
      </x:c>
      <x:c r="I477" s="22" t="str">
        <x:f>HYPERLINK("https://etp-aktiv.ru/catalog/materialy/podshipniki/2000116432-U111/","Открыть позицию")</x:f>
        <x:v>Открыть позицию</x:v>
      </x:c>
    </x:row>
    <x:row r="478" ht="28" customHeight="1">
      <x:c r="A478" s="16" t="str">
        <x:v>Томь-Усинская ГРЭС</x:v>
      </x:c>
      <x:c r="B478" s="16" t="str">
        <x:v>2000116474-U111</x:v>
      </x:c>
      <x:c r="C478" s="16" t="str">
        <x:v>ПОДШИПНИК 60312</x:v>
      </x:c>
      <x:c r="D478" s="16" t="str">
        <x:v>Подшипники</x:v>
      </x:c>
      <x:c r="E478" s="16" t="str">
        <x:v>ШТ</x:v>
      </x:c>
      <x:c r="F478" s="21" t="n">
        <x:v>5</x:v>
      </x:c>
      <x:c r="G478" s="17" t="n">
        <x:v>550.0004</x:v>
      </x:c>
      <x:c r="H478" s="17" t="n">
        <x:f>G478*F478</x:f>
        <x:v>2750.002</x:v>
      </x:c>
      <x:c r="I478" s="22" t="str">
        <x:f>HYPERLINK("https://etp-aktiv.ru/catalog/materialy/podshipniki/2000116474-U111/","Открыть позицию")</x:f>
        <x:v>Открыть позицию</x:v>
      </x:c>
    </x:row>
    <x:row r="479" ht="28" customHeight="1">
      <x:c r="A479" s="16" t="str">
        <x:v>Томь-Усинская ГРЭС</x:v>
      </x:c>
      <x:c r="B479" s="16" t="str">
        <x:v>2000556519-U111</x:v>
      </x:c>
      <x:c r="C479" s="16" t="str">
        <x:v>ПОДШИПНИК 6213</x:v>
      </x:c>
      <x:c r="D479" s="16" t="str">
        <x:v>Подшипники</x:v>
      </x:c>
      <x:c r="E479" s="16" t="str">
        <x:v>ШТ</x:v>
      </x:c>
      <x:c r="F479" s="21" t="n">
        <x:v>2</x:v>
      </x:c>
      <x:c r="G479" s="17" t="n">
        <x:v>540.9968</x:v>
      </x:c>
      <x:c r="H479" s="17" t="n">
        <x:f>G479*F479</x:f>
        <x:v>1081.9936</x:v>
      </x:c>
      <x:c r="I479" s="22" t="str">
        <x:f>HYPERLINK("https://etp-aktiv.ru/catalog/materialy/podshipniki/2000556519-U111/","Открыть позицию")</x:f>
        <x:v>Открыть позицию</x:v>
      </x:c>
    </x:row>
    <x:row r="480" ht="28" customHeight="1">
      <x:c r="A480" s="16" t="str">
        <x:v>Томь-Усинская ГРЭС</x:v>
      </x:c>
      <x:c r="B480" s="16" t="str">
        <x:v>2000072907-U111</x:v>
      </x:c>
      <x:c r="C480" s="16" t="str">
        <x:v>ПОДШИПНИК 6217/С3</x:v>
      </x:c>
      <x:c r="D480" s="16" t="str">
        <x:v>Подшипники</x:v>
      </x:c>
      <x:c r="E480" s="16" t="str">
        <x:v>ШТ</x:v>
      </x:c>
      <x:c r="F480" s="21" t="n">
        <x:v>1</x:v>
      </x:c>
      <x:c r="G480" s="17" t="n">
        <x:v>2253.95</x:v>
      </x:c>
      <x:c r="H480" s="17" t="n">
        <x:f>G480*F480</x:f>
        <x:v>2253.95</x:v>
      </x:c>
      <x:c r="I480" s="22" t="str">
        <x:f>HYPERLINK("https://etp-aktiv.ru/catalog/materialy/podshipniki/2000072907-U111/","Открыть позицию")</x:f>
        <x:v>Открыть позицию</x:v>
      </x:c>
    </x:row>
    <x:row r="481" ht="28" customHeight="1">
      <x:c r="A481" s="16" t="str">
        <x:v>Томь-Усинская ГРЭС</x:v>
      </x:c>
      <x:c r="B481" s="16" t="str">
        <x:v>2000072887-U111</x:v>
      </x:c>
      <x:c r="C481" s="16" t="str">
        <x:v>ПОДШИПНИК 62306</x:v>
      </x:c>
      <x:c r="D481" s="16" t="str">
        <x:v>Подшипники</x:v>
      </x:c>
      <x:c r="E481" s="16" t="str">
        <x:v>ШТ</x:v>
      </x:c>
      <x:c r="F481" s="21" t="n">
        <x:v>1</x:v>
      </x:c>
      <x:c r="G481" s="17" t="n">
        <x:v>203.13</x:v>
      </x:c>
      <x:c r="H481" s="17" t="n">
        <x:f>G481*F481</x:f>
        <x:v>203.13</x:v>
      </x:c>
      <x:c r="I481" s="22" t="str">
        <x:f>HYPERLINK("https://etp-aktiv.ru/catalog/materialy/podshipniki/2000072887-U111/","Открыть позицию")</x:f>
        <x:v>Открыть позицию</x:v>
      </x:c>
    </x:row>
    <x:row r="482" ht="28" customHeight="1">
      <x:c r="A482" s="16" t="str">
        <x:v>Томь-Усинская ГРЭС</x:v>
      </x:c>
      <x:c r="B482" s="16" t="str">
        <x:v>2000237876-U111</x:v>
      </x:c>
      <x:c r="C482" s="16" t="str">
        <x:v>ПОДШИПНИК 6304-2Z</x:v>
      </x:c>
      <x:c r="D482" s="16" t="str">
        <x:v>Подшипники</x:v>
      </x:c>
      <x:c r="E482" s="16" t="str">
        <x:v>ШТ</x:v>
      </x:c>
      <x:c r="F482" s="21" t="n">
        <x:v>4</x:v>
      </x:c>
      <x:c r="G482" s="17" t="n">
        <x:v>63.135</x:v>
      </x:c>
      <x:c r="H482" s="17" t="n">
        <x:f>G482*F482</x:f>
        <x:v>252.54</x:v>
      </x:c>
      <x:c r="I482" s="22" t="str">
        <x:f>HYPERLINK("https://etp-aktiv.ru/catalog/materialy/podshipniki/2000237876-U111/","Открыть позицию")</x:f>
        <x:v>Открыть позицию</x:v>
      </x:c>
    </x:row>
    <x:row r="483" ht="28" customHeight="1">
      <x:c r="A483" s="16" t="str">
        <x:v>Томь-Усинская ГРЭС</x:v>
      </x:c>
      <x:c r="B483" s="16" t="str">
        <x:v>2000006321-U111</x:v>
      </x:c>
      <x:c r="C483" s="16" t="str">
        <x:v>ПОДШИПНИК 6310</x:v>
      </x:c>
      <x:c r="D483" s="16" t="str">
        <x:v>Подшипники</x:v>
      </x:c>
      <x:c r="E483" s="16" t="str">
        <x:v>ШТ</x:v>
      </x:c>
      <x:c r="F483" s="21" t="n">
        <x:v>2</x:v>
      </x:c>
      <x:c r="G483" s="17" t="n">
        <x:v>248.35539999999997</x:v>
      </x:c>
      <x:c r="H483" s="17" t="n">
        <x:f>G483*F483</x:f>
        <x:v>496.71079999999995</x:v>
      </x:c>
      <x:c r="I483" s="22" t="str">
        <x:f>HYPERLINK("https://etp-aktiv.ru/catalog/materialy/podshipniki/2000006321-U111/","Открыть позицию")</x:f>
        <x:v>Открыть позицию</x:v>
      </x:c>
    </x:row>
    <x:row r="484" ht="28" customHeight="1">
      <x:c r="A484" s="16" t="str">
        <x:v>Томь-Усинская ГРЭС</x:v>
      </x:c>
      <x:c r="B484" s="16" t="str">
        <x:v>2000556520-U111</x:v>
      </x:c>
      <x:c r="C484" s="16" t="str">
        <x:v>ПОДШИПНИК 6316</x:v>
      </x:c>
      <x:c r="D484" s="16" t="str">
        <x:v>Подшипники</x:v>
      </x:c>
      <x:c r="E484" s="16" t="str">
        <x:v>ШТ</x:v>
      </x:c>
      <x:c r="F484" s="21" t="n">
        <x:v>1</x:v>
      </x:c>
      <x:c r="G484" s="17" t="n">
        <x:v>1121.4484</x:v>
      </x:c>
      <x:c r="H484" s="17" t="n">
        <x:f>G484*F484</x:f>
        <x:v>1121.4484</x:v>
      </x:c>
      <x:c r="I484" s="22" t="str">
        <x:f>HYPERLINK("https://etp-aktiv.ru/catalog/materialy/podshipniki/2000556520-U111/","Открыть позицию")</x:f>
        <x:v>Открыть позицию</x:v>
      </x:c>
    </x:row>
    <x:row r="485" ht="28" customHeight="1">
      <x:c r="A485" s="16" t="str">
        <x:v>Томь-Усинская ГРЭС</x:v>
      </x:c>
      <x:c r="B485" s="16" t="str">
        <x:v>2000116614-U111</x:v>
      </x:c>
      <x:c r="C485" s="16" t="str">
        <x:v>ПОДШИПНИК 66410</x:v>
      </x:c>
      <x:c r="D485" s="16" t="str">
        <x:v>Подшипники</x:v>
      </x:c>
      <x:c r="E485" s="16" t="str">
        <x:v>ШТ</x:v>
      </x:c>
      <x:c r="F485" s="21" t="n">
        <x:v>6</x:v>
      </x:c>
      <x:c r="G485" s="17" t="n">
        <x:v>1150.0086</x:v>
      </x:c>
      <x:c r="H485" s="17" t="n">
        <x:f>G485*F485</x:f>
        <x:v>6900.051599999999</x:v>
      </x:c>
      <x:c r="I485" s="22" t="str">
        <x:f>HYPERLINK("https://etp-aktiv.ru/catalog/materialy/podshipniki/2000116614-U111/","Открыть позицию")</x:f>
        <x:v>Открыть позицию</x:v>
      </x:c>
    </x:row>
    <x:row r="486" ht="28" customHeight="1">
      <x:c r="A486" s="16" t="str">
        <x:v>Томь-Усинская ГРЭС</x:v>
      </x:c>
      <x:c r="B486" s="16" t="str">
        <x:v>2000556547-U111</x:v>
      </x:c>
      <x:c r="C486" s="16" t="str">
        <x:v>ПОДШИПНИК 66412</x:v>
      </x:c>
      <x:c r="D486" s="16" t="str">
        <x:v>Подшипники</x:v>
      </x:c>
      <x:c r="E486" s="16" t="str">
        <x:v>ШТ</x:v>
      </x:c>
      <x:c r="F486" s="21" t="n">
        <x:v>6</x:v>
      </x:c>
      <x:c r="G486" s="17" t="n">
        <x:v>1450.0066</x:v>
      </x:c>
      <x:c r="H486" s="17" t="n">
        <x:f>G486*F486</x:f>
        <x:v>8700.0396</x:v>
      </x:c>
      <x:c r="I486" s="22" t="str">
        <x:f>HYPERLINK("https://etp-aktiv.ru/catalog/materialy/podshipniki/2000556547-U111/","Открыть позицию")</x:f>
        <x:v>Открыть позицию</x:v>
      </x:c>
    </x:row>
    <x:row r="487" ht="28" customHeight="1">
      <x:c r="A487" s="16" t="str">
        <x:v>Томь-Усинская ГРЭС</x:v>
      </x:c>
      <x:c r="B487" s="16" t="str">
        <x:v>2000116574-U111</x:v>
      </x:c>
      <x:c r="C487" s="16" t="str">
        <x:v>ПОДШИПНИК 7313</x:v>
      </x:c>
      <x:c r="D487" s="16" t="str">
        <x:v>Подшипники</x:v>
      </x:c>
      <x:c r="E487" s="16" t="str">
        <x:v>ШТ</x:v>
      </x:c>
      <x:c r="F487" s="21" t="n">
        <x:v>2</x:v>
      </x:c>
      <x:c r="G487" s="17" t="n">
        <x:v>594.75</x:v>
      </x:c>
      <x:c r="H487" s="17" t="n">
        <x:f>G487*F487</x:f>
        <x:v>1189.5</x:v>
      </x:c>
      <x:c r="I487" s="22" t="str">
        <x:f>HYPERLINK("https://etp-aktiv.ru/catalog/materialy/podshipniki/2000116574-U111/","Открыть позицию")</x:f>
        <x:v>Открыть позицию</x:v>
      </x:c>
    </x:row>
    <x:row r="488" ht="28" customHeight="1">
      <x:c r="A488" s="16" t="str">
        <x:v>Томь-Усинская ГРЭС</x:v>
      </x:c>
      <x:c r="B488" s="16" t="str">
        <x:v>2000116605-U111</x:v>
      </x:c>
      <x:c r="C488" s="16" t="str">
        <x:v>ПОДШИПНИК 7318</x:v>
      </x:c>
      <x:c r="D488" s="16" t="str">
        <x:v>Подшипники</x:v>
      </x:c>
      <x:c r="E488" s="16" t="str">
        <x:v>ШТ</x:v>
      </x:c>
      <x:c r="F488" s="21" t="n">
        <x:v>2</x:v>
      </x:c>
      <x:c r="G488" s="17" t="n">
        <x:v>1589.05</x:v>
      </x:c>
      <x:c r="H488" s="17" t="n">
        <x:f>G488*F488</x:f>
        <x:v>3178.1</x:v>
      </x:c>
      <x:c r="I488" s="22" t="str">
        <x:f>HYPERLINK("https://etp-aktiv.ru/catalog/materialy/podshipniki/2000116605-U111/","Открыть позицию")</x:f>
        <x:v>Открыть позицию</x:v>
      </x:c>
    </x:row>
    <x:row r="489" ht="28" customHeight="1">
      <x:c r="A489" s="16" t="str">
        <x:v>Томь-Усинская ГРЭС</x:v>
      </x:c>
      <x:c r="B489" s="16" t="str">
        <x:v>2000571709-U111</x:v>
      </x:c>
      <x:c r="C489" s="16" t="str">
        <x:v>ПОДШИПНИК 7416BG</x:v>
      </x:c>
      <x:c r="D489" s="16" t="str">
        <x:v>Подшипники</x:v>
      </x:c>
      <x:c r="E489" s="16" t="str">
        <x:v>ШТ</x:v>
      </x:c>
      <x:c r="F489" s="21" t="n">
        <x:v>2</x:v>
      </x:c>
      <x:c r="G489" s="17" t="n">
        <x:v>4575</x:v>
      </x:c>
      <x:c r="H489" s="17" t="n">
        <x:f>G489*F489</x:f>
        <x:v>9150</x:v>
      </x:c>
      <x:c r="I489" s="22" t="str">
        <x:f>HYPERLINK("https://etp-aktiv.ru/catalog/materialy/podshipniki/2000571709-U111/","Открыть позицию")</x:f>
        <x:v>Открыть позицию</x:v>
      </x:c>
    </x:row>
    <x:row r="490" ht="28" customHeight="1">
      <x:c r="A490" s="16" t="str">
        <x:v>Томь-Усинская ГРЭС</x:v>
      </x:c>
      <x:c r="B490" s="16" t="str">
        <x:v>2000116481-U111</x:v>
      </x:c>
      <x:c r="C490" s="16" t="str">
        <x:v>ПОДШИПНИК 7511</x:v>
      </x:c>
      <x:c r="D490" s="16" t="str">
        <x:v>Подшипники</x:v>
      </x:c>
      <x:c r="E490" s="16" t="str">
        <x:v>ШТ</x:v>
      </x:c>
      <x:c r="F490" s="21" t="n">
        <x:v>21</x:v>
      </x:c>
      <x:c r="G490" s="17" t="n">
        <x:v>273.7192</x:v>
      </x:c>
      <x:c r="H490" s="17" t="n">
        <x:f>G490*F490</x:f>
        <x:v>5748.1032</x:v>
      </x:c>
      <x:c r="I490" s="22" t="str">
        <x:f>HYPERLINK("https://etp-aktiv.ru/catalog/materialy/podshipniki/2000116481-U111/","Открыть позицию")</x:f>
        <x:v>Открыть позицию</x:v>
      </x:c>
    </x:row>
    <x:row r="491" ht="28" customHeight="1">
      <x:c r="A491" s="16" t="str">
        <x:v>Томь-Усинская ГРЭС</x:v>
      </x:c>
      <x:c r="B491" s="16" t="str">
        <x:v>2000116493-U111</x:v>
      </x:c>
      <x:c r="C491" s="16" t="str">
        <x:v>ПОДШИПНИК 7514</x:v>
      </x:c>
      <x:c r="D491" s="16" t="str">
        <x:v>Подшипники</x:v>
      </x:c>
      <x:c r="E491" s="16" t="str">
        <x:v>ШТ</x:v>
      </x:c>
      <x:c r="F491" s="21" t="n">
        <x:v>24</x:v>
      </x:c>
      <x:c r="G491" s="17" t="n">
        <x:v>436.32079999999996</x:v>
      </x:c>
      <x:c r="H491" s="17" t="n">
        <x:f>G491*F491</x:f>
        <x:v>10471.6992</x:v>
      </x:c>
      <x:c r="I491" s="22" t="str">
        <x:f>HYPERLINK("https://etp-aktiv.ru/catalog/materialy/podshipniki/2000116493-U111/","Открыть позицию")</x:f>
        <x:v>Открыть позицию</x:v>
      </x:c>
    </x:row>
    <x:row r="492" ht="28" customHeight="1">
      <x:c r="A492" s="16" t="str">
        <x:v>Томь-Усинская ГРЭС</x:v>
      </x:c>
      <x:c r="B492" s="16" t="str">
        <x:v>2000115336-U111</x:v>
      </x:c>
      <x:c r="C492" s="16" t="str">
        <x:v>ПОДШИПНИК 7515</x:v>
      </x:c>
      <x:c r="D492" s="16" t="str">
        <x:v>Подшипники</x:v>
      </x:c>
      <x:c r="E492" s="16" t="str">
        <x:v>ШТ</x:v>
      </x:c>
      <x:c r="F492" s="21" t="n">
        <x:v>21</x:v>
      </x:c>
      <x:c r="G492" s="17" t="n">
        <x:v>425.64579999999995</x:v>
      </x:c>
      <x:c r="H492" s="17" t="n">
        <x:f>G492*F492</x:f>
        <x:v>8938.5618</x:v>
      </x:c>
      <x:c r="I492" s="22" t="str">
        <x:f>HYPERLINK("https://etp-aktiv.ru/catalog/materialy/podshipniki/2000115336-U111/","Открыть позицию")</x:f>
        <x:v>Открыть позицию</x:v>
      </x:c>
    </x:row>
    <x:row r="493" ht="28" customHeight="1">
      <x:c r="A493" s="16" t="str">
        <x:v>Томь-Усинская ГРЭС</x:v>
      </x:c>
      <x:c r="B493" s="16" t="str">
        <x:v>2000008813-U111</x:v>
      </x:c>
      <x:c r="C493" s="16" t="str">
        <x:v>ПОДШИПНИК 7520</x:v>
      </x:c>
      <x:c r="D493" s="16" t="str">
        <x:v>Подшипники</x:v>
      </x:c>
      <x:c r="E493" s="16" t="str">
        <x:v>ШТ</x:v>
      </x:c>
      <x:c r="F493" s="21" t="n">
        <x:v>2</x:v>
      </x:c>
      <x:c r="G493" s="17" t="n">
        <x:v>1450.0066</x:v>
      </x:c>
      <x:c r="H493" s="17" t="n">
        <x:f>G493*F493</x:f>
        <x:v>2900.0132</x:v>
      </x:c>
      <x:c r="I493" s="22" t="str">
        <x:f>HYPERLINK("https://etp-aktiv.ru/catalog/materialy/podshipniki/2000008813-U111/","Открыть позицию")</x:f>
        <x:v>Открыть позицию</x:v>
      </x:c>
    </x:row>
    <x:row r="494" ht="28" customHeight="1">
      <x:c r="A494" s="16" t="str">
        <x:v>Томь-Усинская ГРЭС</x:v>
      </x:c>
      <x:c r="B494" s="16" t="str">
        <x:v>2000116672-U111</x:v>
      </x:c>
      <x:c r="C494" s="16" t="str">
        <x:v>ПОДШИПНИК 7528</x:v>
      </x:c>
      <x:c r="D494" s="16" t="str">
        <x:v>Подшипники</x:v>
      </x:c>
      <x:c r="E494" s="16" t="str">
        <x:v>ШТ</x:v>
      </x:c>
      <x:c r="F494" s="21" t="n">
        <x:v>2</x:v>
      </x:c>
      <x:c r="G494" s="17" t="n">
        <x:v>3628.9876</x:v>
      </x:c>
      <x:c r="H494" s="17" t="n">
        <x:f>G494*F494</x:f>
        <x:v>7257.9752</x:v>
      </x:c>
      <x:c r="I494" s="22" t="str">
        <x:f>HYPERLINK("https://etp-aktiv.ru/catalog/materialy/podshipniki/2000116672-U111/","Открыть позицию")</x:f>
        <x:v>Открыть позицию</x:v>
      </x:c>
    </x:row>
    <x:row r="495" ht="28" customHeight="1">
      <x:c r="A495" s="16" t="str">
        <x:v>Томь-Усинская ГРЭС</x:v>
      </x:c>
      <x:c r="B495" s="16" t="str">
        <x:v>2000116506-U111</x:v>
      </x:c>
      <x:c r="C495" s="16" t="str">
        <x:v>ПОДШИПНИК 7612</x:v>
      </x:c>
      <x:c r="D495" s="16" t="str">
        <x:v>Подшипники</x:v>
      </x:c>
      <x:c r="E495" s="16" t="str">
        <x:v>ШТ</x:v>
      </x:c>
      <x:c r="F495" s="21" t="n">
        <x:v>15</x:v>
      </x:c>
      <x:c r="G495" s="17" t="n">
        <x:v>695.0096</x:v>
      </x:c>
      <x:c r="H495" s="17" t="n">
        <x:f>G495*F495</x:f>
        <x:v>10425.144</x:v>
      </x:c>
      <x:c r="I495" s="22" t="str">
        <x:f>HYPERLINK("https://etp-aktiv.ru/catalog/materialy/podshipniki/2000116506-U111/","Открыть позицию")</x:f>
        <x:v>Открыть позицию</x:v>
      </x:c>
    </x:row>
    <x:row r="496" ht="28" customHeight="1">
      <x:c r="A496" s="16" t="str">
        <x:v>Томь-Усинская ГРЭС</x:v>
      </x:c>
      <x:c r="B496" s="16" t="str">
        <x:v>2000116636-U111</x:v>
      </x:c>
      <x:c r="C496" s="16" t="str">
        <x:v>ПОДШИПНИК 7618</x:v>
      </x:c>
      <x:c r="D496" s="16" t="str">
        <x:v>Подшипники</x:v>
      </x:c>
      <x:c r="E496" s="16" t="str">
        <x:v>ШТ</x:v>
      </x:c>
      <x:c r="F496" s="21" t="n">
        <x:v>6</x:v>
      </x:c>
      <x:c r="G496" s="17" t="n">
        <x:v>2450.004</x:v>
      </x:c>
      <x:c r="H496" s="17" t="n">
        <x:f>G496*F496</x:f>
        <x:v>14700.024</x:v>
      </x:c>
      <x:c r="I496" s="22" t="str">
        <x:f>HYPERLINK("https://etp-aktiv.ru/catalog/materialy/podshipniki/2000116636-U111/","Открыть позицию")</x:f>
        <x:v>Открыть позицию</x:v>
      </x:c>
    </x:row>
    <x:row r="497" ht="28" customHeight="1">
      <x:c r="A497" s="16" t="str">
        <x:v>Томь-Усинская ГРЭС</x:v>
      </x:c>
      <x:c r="B497" s="16" t="str">
        <x:v>2000175113-U111</x:v>
      </x:c>
      <x:c r="C497" s="16" t="str">
        <x:v>ПОДШИПНИК 76306Е</x:v>
      </x:c>
      <x:c r="D497" s="16" t="str">
        <x:v>Подшипники</x:v>
      </x:c>
      <x:c r="E497" s="16" t="str">
        <x:v>ШТ</x:v>
      </x:c>
      <x:c r="F497" s="21" t="n">
        <x:v>4</x:v>
      </x:c>
      <x:c r="G497" s="17" t="n">
        <x:v>140.2756</x:v>
      </x:c>
      <x:c r="H497" s="17" t="n">
        <x:f>G497*F497</x:f>
        <x:v>561.1024</x:v>
      </x:c>
      <x:c r="I497" s="22" t="str">
        <x:f>HYPERLINK("https://etp-aktiv.ru/catalog/materialy/podshipniki/2000175113-U111/","Открыть позицию")</x:f>
        <x:v>Открыть позицию</x:v>
      </x:c>
    </x:row>
    <x:row r="498" ht="28" customHeight="1">
      <x:c r="A498" s="16" t="str">
        <x:v>Томь-Усинская ГРЭС</x:v>
      </x:c>
      <x:c r="B498" s="16" t="str">
        <x:v>2000175114-U111</x:v>
      </x:c>
      <x:c r="C498" s="16" t="str">
        <x:v>ПОДШИПНИК 76307Е</x:v>
      </x:c>
      <x:c r="D498" s="16" t="str">
        <x:v>Подшипники</x:v>
      </x:c>
      <x:c r="E498" s="16" t="str">
        <x:v>ШТ</x:v>
      </x:c>
      <x:c r="F498" s="21" t="n">
        <x:v>2</x:v>
      </x:c>
      <x:c r="G498" s="17" t="n">
        <x:v>793.4635999999999</x:v>
      </x:c>
      <x:c r="H498" s="17" t="n">
        <x:f>G498*F498</x:f>
        <x:v>1586.9271999999999</x:v>
      </x:c>
      <x:c r="I498" s="22" t="str">
        <x:f>HYPERLINK("https://etp-aktiv.ru/catalog/materialy/podshipniki/2000175114-U111/","Открыть позицию")</x:f>
        <x:v>Открыть позицию</x:v>
      </x:c>
    </x:row>
    <x:row r="499" ht="28" customHeight="1">
      <x:c r="A499" s="16" t="str">
        <x:v>Томь-Усинская ГРЭС</x:v>
      </x:c>
      <x:c r="B499" s="16" t="str">
        <x:v>2000449744-U111</x:v>
      </x:c>
      <x:c r="C499" s="16" t="str">
        <x:v>ПОДШИПНИК 8110</x:v>
      </x:c>
      <x:c r="D499" s="16" t="str">
        <x:v>Подшипники</x:v>
      </x:c>
      <x:c r="E499" s="16" t="str">
        <x:v>ШТ</x:v>
      </x:c>
      <x:c r="F499" s="21" t="n">
        <x:v>21</x:v>
      </x:c>
      <x:c r="G499" s="17" t="n">
        <x:v>121.8292</x:v>
      </x:c>
      <x:c r="H499" s="17" t="n">
        <x:f>G499*F499</x:f>
        <x:v>2558.4132</x:v>
      </x:c>
      <x:c r="I499" s="22" t="str">
        <x:f>HYPERLINK("https://etp-aktiv.ru/catalog/materialy/podshipniki/2000449744-U111/","Открыть позицию")</x:f>
        <x:v>Открыть позицию</x:v>
      </x:c>
    </x:row>
    <x:row r="500" ht="28" customHeight="1">
      <x:c r="A500" s="16" t="str">
        <x:v>Томь-Усинская ГРЭС</x:v>
      </x:c>
      <x:c r="B500" s="16" t="str">
        <x:v>2000005194-U111</x:v>
      </x:c>
      <x:c r="C500" s="16" t="str">
        <x:v>ПОДШИПНИК 8114</x:v>
      </x:c>
      <x:c r="D500" s="16" t="str">
        <x:v>Подшипники</x:v>
      </x:c>
      <x:c r="E500" s="16" t="str">
        <x:v>ШТ</x:v>
      </x:c>
      <x:c r="F500" s="21" t="n">
        <x:v>20</x:v>
      </x:c>
      <x:c r="G500" s="17" t="n">
        <x:v>221.45440000000002</x:v>
      </x:c>
      <x:c r="H500" s="17" t="n">
        <x:f>G500*F500</x:f>
        <x:v>4429.088000000001</x:v>
      </x:c>
      <x:c r="I500" s="22" t="str">
        <x:f>HYPERLINK("https://etp-aktiv.ru/catalog/materialy/podshipniki/2000005194-U111/","Открыть позицию")</x:f>
        <x:v>Открыть позицию</x:v>
      </x:c>
    </x:row>
    <x:row r="501" ht="28" customHeight="1">
      <x:c r="A501" s="16" t="str">
        <x:v>Томь-Усинская ГРЭС</x:v>
      </x:c>
      <x:c r="B501" s="16" t="str">
        <x:v>2000034670-U111</x:v>
      </x:c>
      <x:c r="C501" s="16" t="str">
        <x:v>ПОДШИПНИК 8116</x:v>
      </x:c>
      <x:c r="D501" s="16" t="str">
        <x:v>Подшипники</x:v>
      </x:c>
      <x:c r="E501" s="16" t="str">
        <x:v>ШТ</x:v>
      </x:c>
      <x:c r="F501" s="21" t="n">
        <x:v>6</x:v>
      </x:c>
      <x:c r="G501" s="17" t="n">
        <x:v>270.5594</x:v>
      </x:c>
      <x:c r="H501" s="17" t="n">
        <x:f>G501*F501</x:f>
        <x:v>1623.3564</x:v>
      </x:c>
      <x:c r="I501" s="22" t="str">
        <x:f>HYPERLINK("https://etp-aktiv.ru/catalog/materialy/podshipniki/2000034670-U111/","Открыть позицию")</x:f>
        <x:v>Открыть позицию</x:v>
      </x:c>
    </x:row>
    <x:row r="502" ht="28" customHeight="1">
      <x:c r="A502" s="16" t="str">
        <x:v>Томь-Усинская ГРЭС</x:v>
      </x:c>
      <x:c r="B502" s="16" t="str">
        <x:v>2000127354-U111</x:v>
      </x:c>
      <x:c r="C502" s="16" t="str">
        <x:v>ПОДШИПНИК 8211</x:v>
      </x:c>
      <x:c r="D502" s="16" t="str">
        <x:v>Подшипники</x:v>
      </x:c>
      <x:c r="E502" s="16" t="str">
        <x:v>ШТ</x:v>
      </x:c>
      <x:c r="F502" s="21" t="n">
        <x:v>6</x:v>
      </x:c>
      <x:c r="G502" s="17" t="n">
        <x:v>280.8074</x:v>
      </x:c>
      <x:c r="H502" s="17" t="n">
        <x:f>G502*F502</x:f>
        <x:v>1684.8444</x:v>
      </x:c>
      <x:c r="I502" s="22" t="str">
        <x:f>HYPERLINK("https://etp-aktiv.ru/catalog/materialy/podshipniki/2000127354-U111/","Открыть позицию")</x:f>
        <x:v>Открыть позицию</x:v>
      </x:c>
    </x:row>
    <x:row r="503" ht="28" customHeight="1">
      <x:c r="A503" s="16" t="str">
        <x:v>Томь-Усинская ГРЭС</x:v>
      </x:c>
      <x:c r="B503" s="16" t="str">
        <x:v>2000127346-U111</x:v>
      </x:c>
      <x:c r="C503" s="16" t="str">
        <x:v>ПОДШИПНИК 8217</x:v>
      </x:c>
      <x:c r="D503" s="16" t="str">
        <x:v>Подшипники</x:v>
      </x:c>
      <x:c r="E503" s="16" t="str">
        <x:v>ШТ</x:v>
      </x:c>
      <x:c r="F503" s="21" t="n">
        <x:v>3</x:v>
      </x:c>
      <x:c r="G503" s="17" t="n">
        <x:v>377.895</x:v>
      </x:c>
      <x:c r="H503" s="17" t="n">
        <x:f>G503*F503</x:f>
        <x:v>1133.685</x:v>
      </x:c>
      <x:c r="I503" s="22" t="str">
        <x:f>HYPERLINK("https://etp-aktiv.ru/catalog/materialy/podshipniki/2000127346-U111/","Открыть позицию")</x:f>
        <x:v>Открыть позицию</x:v>
      </x:c>
    </x:row>
    <x:row r="504" ht="28" customHeight="1">
      <x:c r="A504" s="16" t="str">
        <x:v>Томь-Усинская ГРЭС</x:v>
      </x:c>
      <x:c r="B504" s="16" t="str">
        <x:v>2000116411-U111</x:v>
      </x:c>
      <x:c r="C504" s="16" t="str">
        <x:v>ПОДШИПНИК 986714</x:v>
      </x:c>
      <x:c r="D504" s="16" t="str">
        <x:v>Подшипники</x:v>
      </x:c>
      <x:c r="E504" s="16" t="str">
        <x:v>ШТ</x:v>
      </x:c>
      <x:c r="F504" s="21" t="n">
        <x:v>1</x:v>
      </x:c>
      <x:c r="G504" s="17" t="n">
        <x:v>247.04999999999998</x:v>
      </x:c>
      <x:c r="H504" s="17" t="n">
        <x:f>G504*F504</x:f>
        <x:v>247.04999999999998</x:v>
      </x:c>
      <x:c r="I504" s="22" t="str">
        <x:f>HYPERLINK("https://etp-aktiv.ru/catalog/materialy/podshipniki/2000116411-U111/","Открыть позицию")</x:f>
        <x:v>Открыть позицию</x:v>
      </x:c>
    </x:row>
    <x:row r="505" ht="28" customHeight="1">
      <x:c r="A505" s="16" t="str">
        <x:v>Томь-Усинская ГРЭС</x:v>
      </x:c>
      <x:c r="B505" s="16" t="str">
        <x:v>2000570188-U111</x:v>
      </x:c>
      <x:c r="C505" s="16" t="str">
        <x:v>ПОДШИПНИК Ш17</x:v>
      </x:c>
      <x:c r="D505" s="16" t="str">
        <x:v>Подшипники</x:v>
      </x:c>
      <x:c r="E505" s="16" t="str">
        <x:v>ШТ</x:v>
      </x:c>
      <x:c r="F505" s="21" t="n">
        <x:v>6</x:v>
      </x:c>
      <x:c r="G505" s="17" t="n">
        <x:v>61</x:v>
      </x:c>
      <x:c r="H505" s="17" t="n">
        <x:f>G505*F505</x:f>
        <x:v>366</x:v>
      </x:c>
      <x:c r="I505" s="22" t="str">
        <x:f>HYPERLINK("https://etp-aktiv.ru/catalog/materialy/podshipniki/2000570188-U111/","Открыть позицию")</x:f>
        <x:v>Открыть позицию</x:v>
      </x:c>
    </x:row>
    <x:row r="506" ht="28" customHeight="1">
      <x:c r="A506" s="16" t="str">
        <x:v>Томь-Усинская ГРЭС</x:v>
      </x:c>
      <x:c r="B506" s="16" t="str">
        <x:v>2000547618-U111</x:v>
      </x:c>
      <x:c r="C506" s="16" t="str">
        <x:v>ПОРОШОК МАГНЕЗИТ КАУСТИЧ ПМК-83</x:v>
      </x:c>
      <x:c r="D506" s="16" t="str">
        <x:v>Антислеживатели, кондиционирующие добавки</x:v>
      </x:c>
      <x:c r="E506" s="16" t="str">
        <x:v>Т</x:v>
      </x:c>
      <x:c r="F506" s="21" t="n">
        <x:v>2</x:v>
      </x:c>
      <x:c r="G506" s="17" t="n">
        <x:v>50325</x:v>
      </x:c>
      <x:c r="H506" s="17" t="n">
        <x:f>G506*F506</x:f>
        <x:v>100650</x:v>
      </x:c>
      <x:c r="I506" s="22" t="str">
        <x:f>HYPERLINK("https://etp-aktiv.ru/catalog/materialy/himicheskaya-produkciya/2000547618-U111/","Открыть позицию")</x:f>
        <x:v>Открыть позицию</x:v>
      </x:c>
    </x:row>
    <x:row r="507" ht="28" customHeight="1">
      <x:c r="A507" s="16" t="str">
        <x:v>Томь-Усинская ГРЭС</x:v>
      </x:c>
      <x:c r="B507" s="16" t="str">
        <x:v>2000595380-U111</x:v>
      </x:c>
      <x:c r="C507" s="16" t="str">
        <x:v>РЕДУКТОР КОН-ЦИЛ КЦ2-750-112-41-Ц-У1 112</x:v>
      </x:c>
      <x:c r="D507" s="16" t="str">
        <x:v>Редукторы стандартные</x:v>
      </x:c>
      <x:c r="E507" s="16" t="str">
        <x:v>ШТ</x:v>
      </x:c>
      <x:c r="F507" s="21" t="n">
        <x:v>1</x:v>
      </x:c>
      <x:c r="G507" s="17" t="n">
        <x:v>526125</x:v>
      </x:c>
      <x:c r="H507" s="17" t="n">
        <x:f>G507*F507</x:f>
        <x:v>526125</x:v>
      </x:c>
      <x:c r="I507" s="22" t="str">
        <x:f>HYPERLINK("https://etp-aktiv.ru/catalog/materialy/reduktory/2000595380-U111/","Открыть позицию")</x:f>
        <x:v>Открыть позицию</x:v>
      </x:c>
    </x:row>
    <x:row r="508" ht="28" customHeight="1">
      <x:c r="A508" s="16" t="str">
        <x:v>Томь-Усинская ГРЭС</x:v>
      </x:c>
      <x:c r="B508" s="16" t="str">
        <x:v>2000170188-U111</x:v>
      </x:c>
      <x:c r="C508" s="16" t="str">
        <x:v>РЕДУКТОР РМ-650-40-12-Ц-У3</x:v>
      </x:c>
      <x:c r="D508" s="16" t="str">
        <x:v>Редукторы стандартные</x:v>
      </x:c>
      <x:c r="E508" s="16" t="str">
        <x:v>ШТ</x:v>
      </x:c>
      <x:c r="F508" s="21" t="n">
        <x:v>1</x:v>
      </x:c>
      <x:c r="G508" s="17" t="n">
        <x:v>167750.0122</x:v>
      </x:c>
      <x:c r="H508" s="17" t="n">
        <x:f>G508*F508</x:f>
        <x:v>167750.0122</x:v>
      </x:c>
      <x:c r="I508" s="22" t="str">
        <x:f>HYPERLINK("https://etp-aktiv.ru/catalog/materialy/reduktory/2000170188-U111/","Открыть позицию")</x:f>
        <x:v>Открыть позицию</x:v>
      </x:c>
    </x:row>
    <x:row r="509" ht="28" customHeight="1">
      <x:c r="A509" s="16" t="str">
        <x:v>Томь-Усинская ГРЭС</x:v>
      </x:c>
      <x:c r="B509" s="16" t="str">
        <x:v>2000552514-U111</x:v>
      </x:c>
      <x:c r="C509" s="16" t="str">
        <x:v>РОЛИК ЛЕНТ ПИТ ЦЦР-1089 ВО ТИП II 1000ММ</x:v>
      </x:c>
      <x:c r="D509" s="16" t="str">
        <x:v>Запасные части к конвейерам поверхностным</x:v>
      </x:c>
      <x:c r="E509" s="16" t="str">
        <x:v>ШТ</x:v>
      </x:c>
      <x:c r="F509" s="21" t="n">
        <x:v>46</x:v>
      </x:c>
      <x:c r="G509" s="17" t="n">
        <x:v>3355</x:v>
      </x:c>
      <x:c r="H509" s="17" t="n">
        <x:f>G509*F509</x:f>
        <x:v>154330</x:v>
      </x:c>
      <x:c r="I509" s="22" t="str">
        <x:f>HYPERLINK("https://etp-aktiv.ru/catalog/materialy/zapasnye-chasti-k-drobilno-sortirovochnomu-oborudovaniyu/2000552514-U111/","Открыть позицию")</x:f>
        <x:v>Открыть позицию</x:v>
      </x:c>
    </x:row>
    <x:row r="510" ht="28" customHeight="1">
      <x:c r="A510" s="16" t="str">
        <x:v>Томь-Усинская ГРЭС</x:v>
      </x:c>
      <x:c r="B510" s="16" t="str">
        <x:v>5000041423-U111</x:v>
      </x:c>
      <x:c r="C510" s="16" t="str">
        <x:v>ТАЛЬ РУЧ РЫЧАЖНАЯ ГП1,5Т Н3М ТРШСР</x:v>
      </x:c>
      <x:c r="D510" s="16" t="str">
        <x:v>Средства для подъема груза ручные</x:v>
      </x:c>
      <x:c r="E510" s="16" t="str">
        <x:v>ШТ</x:v>
      </x:c>
      <x:c r="F510" s="21" t="n">
        <x:v>1</x:v>
      </x:c>
      <x:c r="G510" s="17" t="n">
        <x:v>6588</x:v>
      </x:c>
      <x:c r="H510" s="17" t="n">
        <x:f>G510*F510</x:f>
        <x:v>6588</x:v>
      </x:c>
      <x:c r="I510" s="22" t="str">
        <x:f>HYPERLINK("https://etp-aktiv.ru/catalog/materialy/zapasnye-chasti-k-gruzopodemnoj-tekhnike-oborudovaniyu-i-mekhanizmam/5000041423-U111/","Открыть позицию")</x:f>
        <x:v>Открыть позицию</x:v>
      </x:c>
    </x:row>
    <x:row r="511" ht="28" customHeight="1">
      <x:c r="A511" s="16" t="str">
        <x:v>Томь-Усинская ГРЭС</x:v>
      </x:c>
      <x:c r="B511" s="16" t="str">
        <x:v>2000362105-U111</x:v>
      </x:c>
      <x:c r="C511" s="16" t="str">
        <x:v>ХОМУТ СИЛОВОЙ 20*22 SIL20-22RB41</x:v>
      </x:c>
      <x:c r="D511" s="16" t="str">
        <x:v>Инструмент и спецоснастка</x:v>
      </x:c>
      <x:c r="E511" s="16" t="str">
        <x:v>ШТ</x:v>
      </x:c>
      <x:c r="F511" s="21" t="n">
        <x:v>5</x:v>
      </x:c>
      <x:c r="G511" s="17" t="n">
        <x:v>42.699999999999996</x:v>
      </x:c>
      <x:c r="H511" s="17" t="n">
        <x:f>G511*F511</x:f>
        <x:v>213.49999999999997</x:v>
      </x:c>
      <x:c r="I511" s="22" t="str">
        <x:f>HYPERLINK("https://etp-aktiv.ru/catalog/materialy/instrument-i-specosnastka/2000362105-U111/","Открыть позицию")</x:f>
        <x:v>Открыть позицию</x:v>
      </x:c>
    </x:row>
    <x:row r="512" ht="28" customHeight="1">
      <x:c r="A512" s="16" t="str">
        <x:v>Томь-Усинская ГРЭС</x:v>
      </x:c>
      <x:c r="B512" s="16" t="str">
        <x:v>2000563775-U111</x:v>
      </x:c>
      <x:c r="C512" s="16" t="str">
        <x:v>ЦЕПЬ ПР 15,875 23 ГОСТ13568-97</x:v>
      </x:c>
      <x:c r="D512" s="16" t="str">
        <x:v>Приводные цепи и комплектующие</x:v>
      </x:c>
      <x:c r="E512" s="16" t="str">
        <x:v>М</x:v>
      </x:c>
      <x:c r="F512" s="30" t="n">
        <x:v>0.085</x:v>
      </x:c>
      <x:c r="G512" s="17" t="n">
        <x:v>336.71999999999997</x:v>
      </x:c>
      <x:c r="H512" s="17" t="n">
        <x:f>G512*F512</x:f>
        <x:v>28.621199999999998</x:v>
      </x:c>
      <x:c r="I512" s="22" t="str">
        <x:f>HYPERLINK("https://etp-aktiv.ru/catalog/materialy/zapasnye-chasti-promyshlennogo-oborudovaniya/2000563775-U111/","Открыть позицию")</x:f>
        <x:v>Открыть позицию</x:v>
      </x:c>
    </x:row>
    <x:row r="513" ht="28" customHeight="1">
      <x:c r="A513" s="16" t="str">
        <x:v>Томь-Усинская ГРЭС</x:v>
      </x:c>
      <x:c r="B513" s="16" t="str">
        <x:v>2000631054-U111</x:v>
      </x:c>
      <x:c r="C513" s="16" t="str">
        <x:v>ШКИВ D300 МК-50/10 С 282.323</x:v>
      </x:c>
      <x:c r="D513" s="16" t="str">
        <x:v>Запасные части к грузоподъемной технике, оборудованию и меха</x:v>
      </x:c>
      <x:c r="E513" s="16" t="str">
        <x:v>ШТ</x:v>
      </x:c>
      <x:c r="F513" s="21" t="n">
        <x:v>1</x:v>
      </x:c>
      <x:c r="G513" s="17" t="n">
        <x:v>22226.875</x:v>
      </x:c>
      <x:c r="H513" s="17" t="n">
        <x:f>G513*F513</x:f>
        <x:v>22226.875</x:v>
      </x:c>
      <x:c r="I513" s="22" t="str">
        <x:f>HYPERLINK("https://etp-aktiv.ru/catalog/materialy/zapasnye-chasti-k-gruzopodemnoj-tekhnike-oborudovaniyu-i-mekhanizmam/2000631054-U111/","Открыть позицию")</x:f>
        <x:v>Открыть позицию</x:v>
      </x:c>
    </x:row>
    <x:row r="514" ht="28" customHeight="1">
      <x:c r="A514" s="16" t="str">
        <x:v>Томь-Усинская ГРЭС</x:v>
      </x:c>
      <x:c r="B514" s="16" t="str">
        <x:v>2000631055-U111</x:v>
      </x:c>
      <x:c r="C514" s="16" t="str">
        <x:v>ШКИВ D400 МК-50/10 С 282.423</x:v>
      </x:c>
      <x:c r="D514" s="16" t="str">
        <x:v>Запасные части к грузоподъемной технике, оборудованию и меха</x:v>
      </x:c>
      <x:c r="E514" s="16" t="str">
        <x:v>ШТ</x:v>
      </x:c>
      <x:c r="F514" s="21" t="n">
        <x:v>1</x:v>
      </x:c>
      <x:c r="G514" s="17" t="n">
        <x:v>32368.125</x:v>
      </x:c>
      <x:c r="H514" s="17" t="n">
        <x:f>G514*F514</x:f>
        <x:v>32368.125</x:v>
      </x:c>
      <x:c r="I514" s="22" t="str">
        <x:f>HYPERLINK("https://etp-aktiv.ru/catalog/materialy/zapasnye-chasti-k-gruzopodemnoj-tekhnike-oborudovaniyu-i-mekhanizmam/2000631055-U111/","Открыть позицию")</x:f>
        <x:v>Открыть позицию</x:v>
      </x:c>
    </x:row>
    <x:row r="515" ht="28" customHeight="1">
      <x:c r="A515" s="16" t="str">
        <x:v>Томь-Усинская ГРЭС</x:v>
      </x:c>
      <x:c r="B515" s="16" t="str">
        <x:v>2000631052-U111</x:v>
      </x:c>
      <x:c r="C515" s="16" t="str">
        <x:v>ШКИВ ТОРМОЗНОЙ D200 МК-50/10 C 282.212</x:v>
      </x:c>
      <x:c r="D515" s="16" t="str">
        <x:v>Запасные части к грузоподъемной технике, оборудованию и меха</x:v>
      </x:c>
      <x:c r="E515" s="16" t="str">
        <x:v>ШТ</x:v>
      </x:c>
      <x:c r="F515" s="21" t="n">
        <x:v>1</x:v>
      </x:c>
      <x:c r="G515" s="17" t="n">
        <x:v>7365.75</x:v>
      </x:c>
      <x:c r="H515" s="17" t="n">
        <x:f>G515*F515</x:f>
        <x:v>7365.75</x:v>
      </x:c>
      <x:c r="I515" s="22" t="str">
        <x:f>HYPERLINK("https://etp-aktiv.ru/catalog/materialy/zapasnye-chasti-k-gruzopodemnoj-tekhnike-oborudovaniyu-i-mekhanizmam/2000631052-U111/","Открыть позицию")</x:f>
        <x:v>Открыть позицию</x:v>
      </x:c>
    </x:row>
    <x:row r="516" ht="28" customHeight="1">
      <x:c r="A516" s="16" t="str">
        <x:v>Томь-Усинская ГРЭС</x:v>
      </x:c>
      <x:c r="B516" s="16" t="str">
        <x:v>2000920936-U111</x:v>
      </x:c>
      <x:c r="C516" s="16" t="str">
        <x:v>ШКИВ ТОРМОЗНОЙ D300 42235</x:v>
      </x:c>
      <x:c r="D516" s="16" t="str">
        <x:v>Запасные части к грузоподъемной технике, оборудованию и меха</x:v>
      </x:c>
      <x:c r="E516" s="16" t="str">
        <x:v>ШТ</x:v>
      </x:c>
      <x:c r="F516" s="21" t="n">
        <x:v>2</x:v>
      </x:c>
      <x:c r="G516" s="17" t="n">
        <x:v>44148.75</x:v>
      </x:c>
      <x:c r="H516" s="17" t="n">
        <x:f>G516*F516</x:f>
        <x:v>88297.5</x:v>
      </x:c>
      <x:c r="I516" s="22" t="str">
        <x:f>HYPERLINK("https://etp-aktiv.ru/catalog/materialy/zapasnye-chasti-k-gruzopodemnoj-tekhnike-oborudovaniyu-i-mekhanizmam/2000920936-U111/","Открыть позицию")</x:f>
        <x:v>Открыть позицию</x:v>
      </x:c>
    </x:row>
    <x:row r="517" ht="28" customHeight="1">
      <x:c r="A517" s="16" t="str">
        <x:v>Томь-Усинская ГРЭС</x:v>
      </x:c>
      <x:c r="B517" s="16" t="str">
        <x:v>2000631053-U111</x:v>
      </x:c>
      <x:c r="C517" s="16" t="str">
        <x:v>ШКИВ ТОРМОЗНОЙ D300 МК-50/10 10-125</x:v>
      </x:c>
      <x:c r="D517" s="16" t="str">
        <x:v>Запасные части к грузоподъемной технике, оборудованию и меха</x:v>
      </x:c>
      <x:c r="E517" s="16" t="str">
        <x:v>ШТ</x:v>
      </x:c>
      <x:c r="F517" s="21" t="n">
        <x:v>1</x:v>
      </x:c>
      <x:c r="G517" s="17" t="n">
        <x:v>18086.5</x:v>
      </x:c>
      <x:c r="H517" s="17" t="n">
        <x:f>G517*F517</x:f>
        <x:v>18086.5</x:v>
      </x:c>
      <x:c r="I517" s="22" t="str">
        <x:f>HYPERLINK("https://etp-aktiv.ru/catalog/materialy/zapasnye-chasti-k-gruzopodemnoj-tekhnike-oborudovaniyu-i-mekhanizmam/2000631053-U111/","Открыть позицию")</x:f>
        <x:v>Открыть позицию</x:v>
      </x:c>
    </x:row>
    <x:row r="518" ht="28" customHeight="1">
      <x:c r="A518" s="16" t="str">
        <x:v>Томь-Усинская ГРЭС</x:v>
      </x:c>
      <x:c r="B518" s="16" t="str">
        <x:v>2000046078-U111</x:v>
      </x:c>
      <x:c r="C518" s="16" t="str">
        <x:v>ШЛИФКРУГ ОБДИРОЧНЫЙ 150*20*32 14А</x:v>
      </x:c>
      <x:c r="D518" s="16" t="str">
        <x:v>Инструмент и спецоснастка</x:v>
      </x:c>
      <x:c r="E518" s="16" t="str">
        <x:v>ШТ</x:v>
      </x:c>
      <x:c r="F518" s="21" t="n">
        <x:v>39</x:v>
      </x:c>
      <x:c r="G518" s="17" t="n">
        <x:v>190.0028</x:v>
      </x:c>
      <x:c r="H518" s="17" t="n">
        <x:f>G518*F518</x:f>
        <x:v>7410.1092</x:v>
      </x:c>
      <x:c r="I518" s="22" t="str">
        <x:f>HYPERLINK("https://etp-aktiv.ru/catalog/materialy/instrument-i-specosnastka/2000046078-U111/","Открыть позицию")</x:f>
        <x:v>Открыть позицию</x:v>
      </x:c>
    </x:row>
    <x:row r="519" ht="28" customHeight="1">
      <x:c r="A519" s="16" t="str">
        <x:v>Томь-Усинская ГРЭС</x:v>
      </x:c>
      <x:c r="B519" s="16" t="str">
        <x:v>2000461810-U111</x:v>
      </x:c>
      <x:c r="C519" s="16" t="str">
        <x:v>ШПРИЦ РЫЧАЖНЫЙ GR 42788</x:v>
      </x:c>
      <x:c r="D519" s="16" t="str">
        <x:v>Инструмент и спецоснастка</x:v>
      </x:c>
      <x:c r="E519" s="16" t="str">
        <x:v>ШТ</x:v>
      </x:c>
      <x:c r="F519" s="21" t="n">
        <x:v>2</x:v>
      </x:c>
      <x:c r="G519" s="17" t="n">
        <x:v>3850.686</x:v>
      </x:c>
      <x:c r="H519" s="17" t="n">
        <x:f>G519*F519</x:f>
        <x:v>7701.372</x:v>
      </x:c>
      <x:c r="I519" s="22" t="str">
        <x:f>HYPERLINK("https://etp-aktiv.ru/catalog/materialy/instrument-i-specosnastka/2000461810-U111/","Открыть позицию")</x:f>
        <x:v>Открыть позицию</x:v>
      </x:c>
    </x:row>
    <x:row r="520" ht="28" customHeight="1">
      <x:c r="A520" s="16" t="str">
        <x:v>Томь-Усинская ГРЭС</x:v>
      </x:c>
      <x:c r="B520" s="16" t="str">
        <x:v>2000544204-U111</x:v>
      </x:c>
      <x:c r="C520" s="16" t="str">
        <x:v>ЩЕТКА ЗАЧ ДИСКОВАЯ Д/УШМ 125ММ 35101-125</x:v>
      </x:c>
      <x:c r="D520" s="16" t="str">
        <x:v>Инструмент и спецоснастка</x:v>
      </x:c>
      <x:c r="E520" s="16" t="str">
        <x:v>ШТ</x:v>
      </x:c>
      <x:c r="F520" s="21" t="n">
        <x:v>10</x:v>
      </x:c>
      <x:c r="G520" s="17" t="n">
        <x:v>566.8486</x:v>
      </x:c>
      <x:c r="H520" s="17" t="n">
        <x:f>G520*F520</x:f>
        <x:v>5668.486000000001</x:v>
      </x:c>
      <x:c r="I520" s="22" t="str">
        <x:f>HYPERLINK("https://etp-aktiv.ru/catalog/materialy/instrument-i-specosnastka/2000544204-U111/","Открыть позицию")</x:f>
        <x:v>Открыть позицию</x:v>
      </x:c>
    </x:row>
    <x:row r="521" ht="28" customHeight="1">
      <x:c r="A521" s="16" t="str">
        <x:v>Томь-Усинская ГРЭС</x:v>
      </x:c>
      <x:c r="B521" s="16" t="str">
        <x:v>2000576891-U111</x:v>
      </x:c>
      <x:c r="C521" s="16" t="str">
        <x:v>ЩЕТКА ЗАЧИСТНАЯ С РУЧКОЙ СИБРТЕХ 74804</x:v>
      </x:c>
      <x:c r="D521" s="16" t="str">
        <x:v>Инструмент и спецоснастка</x:v>
      </x:c>
      <x:c r="E521" s="16" t="str">
        <x:v>ШТ</x:v>
      </x:c>
      <x:c r="F521" s="21" t="n">
        <x:v>2</x:v>
      </x:c>
      <x:c r="G521" s="17" t="n">
        <x:v>84.17999999999999</x:v>
      </x:c>
      <x:c r="H521" s="17" t="n">
        <x:f>G521*F521</x:f>
        <x:v>168.35999999999999</x:v>
      </x:c>
      <x:c r="I521" s="22" t="str">
        <x:f>HYPERLINK("https://etp-aktiv.ru/catalog/materialy/instrument-i-specosnastka/2000576891-U111/","Открыть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e4b6697a20344497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Изоляция, РТИ, огнеупорные и кислотоупорные материалы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2000538913-U112</x:v>
      </x:c>
      <x:c r="C5" s="16" t="str">
        <x:v>АСБОКАРТОН КАОН-3 10ММ</x:v>
      </x:c>
      <x:c r="D5" s="16" t="str">
        <x:v>Асбо-технические изделия</x:v>
      </x:c>
      <x:c r="E5" s="16" t="str">
        <x:v>КГ</x:v>
      </x:c>
      <x:c r="F5" s="21" t="n">
        <x:v>55</x:v>
      </x:c>
      <x:c r="G5" s="17" t="n">
        <x:v>57.510799999999996</x:v>
      </x:c>
      <x:c r="H5" s="17" t="n">
        <x:f>G5*F5</x:f>
        <x:v>3163.0939999999996</x:v>
      </x:c>
      <x:c r="I5" s="22" t="str">
        <x:f>HYPERLINK("https://etp-aktiv.ru/catalog/materialy/asbo-tekhnicheskie-izdeliya/2000538913-U112/","Открыть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2000548772-U112</x:v>
      </x:c>
      <x:c r="C6" s="16" t="str">
        <x:v>ВОЙЛОК МУЛЛИТОКРЕМНЕЗЕМИСТ 10*0,6*0,04М</x:v>
      </x:c>
      <x:c r="D6" s="16" t="str">
        <x:v>Теплоизоляция</x:v>
      </x:c>
      <x:c r="E6" s="16" t="str">
        <x:v>КГ</x:v>
      </x:c>
      <x:c r="F6" s="29" t="n">
        <x:v>24.6</x:v>
      </x:c>
      <x:c r="G6" s="17" t="n">
        <x:v>145.2288</x:v>
      </x:c>
      <x:c r="H6" s="17" t="n">
        <x:f>G6*F6</x:f>
        <x:v>3572.6284800000003</x:v>
      </x:c>
      <x:c r="I6" s="22" t="str">
        <x:f>HYPERLINK("https://etp-aktiv.ru/catalog/materialy/teploizolyaciya/2000548772-U112/","Открыть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2000558504-U112</x:v>
      </x:c>
      <x:c r="C7" s="16" t="str">
        <x:v>ВОЙЛОК ТЕХНИЧЕСКИЙ ТС 16ММ</x:v>
      </x:c>
      <x:c r="D7" s="16" t="str">
        <x:v>Теплоизоляция</x:v>
      </x:c>
      <x:c r="E7" s="16" t="str">
        <x:v>КГ</x:v>
      </x:c>
      <x:c r="F7" s="21" t="n">
        <x:v>242</x:v>
      </x:c>
      <x:c r="G7" s="17" t="n">
        <x:v>567.2878</x:v>
      </x:c>
      <x:c r="H7" s="17" t="n">
        <x:f>G7*F7</x:f>
        <x:v>137283.6476</x:v>
      </x:c>
      <x:c r="I7" s="22" t="str">
        <x:f>HYPERLINK("https://etp-aktiv.ru/catalog/materialy/teploizolyaciya/2000558504-U112/","Открыть позицию")</x:f>
        <x:v>Открыть позицию</x:v>
      </x:c>
    </x:row>
    <x:row r="8" ht="28" customHeight="1">
      <x:c r="A8" s="16" t="str">
        <x:v>Беловская ГРЭС</x:v>
      </x:c>
      <x:c r="B8" s="16" t="str">
        <x:v>2000538922-U112</x:v>
      </x:c>
      <x:c r="C8" s="16" t="str">
        <x:v>КАРТОН КАОН-1 5*1000*1000</x:v>
      </x:c>
      <x:c r="D8" s="16" t="str">
        <x:v>Асбо-технические изделия</x:v>
      </x:c>
      <x:c r="E8" s="16" t="str">
        <x:v>КГ</x:v>
      </x:c>
      <x:c r="F8" s="29" t="n">
        <x:v>4.8</x:v>
      </x:c>
      <x:c r="G8" s="17" t="n">
        <x:v>190.0028</x:v>
      </x:c>
      <x:c r="H8" s="17" t="n">
        <x:f>G8*F8</x:f>
        <x:v>912.0134400000001</x:v>
      </x:c>
      <x:c r="I8" s="22" t="str">
        <x:f>HYPERLINK("https://etp-aktiv.ru/catalog/materialy/asbo-tekhnicheskie-izdeliya/2000538922-U112/","Открыть позицию")</x:f>
        <x:v>Открыть позицию</x:v>
      </x:c>
    </x:row>
    <x:row r="9" ht="28" customHeight="1">
      <x:c r="A9" s="16" t="str">
        <x:v>Беловская ГРЭС</x:v>
      </x:c>
      <x:c r="B9" s="16" t="str">
        <x:v>2000570254-U112</x:v>
      </x:c>
      <x:c r="C9" s="16" t="str">
        <x:v>КАРТОН КАОН-1 5*1000*800</x:v>
      </x:c>
      <x:c r="D9" s="16" t="str">
        <x:v>Асбо-технические изделия</x:v>
      </x:c>
      <x:c r="E9" s="16" t="str">
        <x:v>КГ</x:v>
      </x:c>
      <x:c r="F9" s="29" t="n">
        <x:v>848.59</x:v>
      </x:c>
      <x:c r="G9" s="17" t="n">
        <x:v>47.6288</x:v>
      </x:c>
      <x:c r="H9" s="17" t="n">
        <x:f>G9*F9</x:f>
        <x:v>40417.323392</x:v>
      </x:c>
      <x:c r="I9" s="22" t="str">
        <x:f>HYPERLINK("https://etp-aktiv.ru/catalog/materialy/asbo-tekhnicheskie-izdeliya/2000570254-U112/","Открыть позицию")</x:f>
        <x:v>Открыть позицию</x:v>
      </x:c>
    </x:row>
    <x:row r="10" ht="28" customHeight="1">
      <x:c r="A10" s="16" t="str">
        <x:v>Беловская ГРЭС</x:v>
      </x:c>
      <x:c r="B10" s="16" t="str">
        <x:v>2000707258-U112</x:v>
      </x:c>
      <x:c r="C10" s="16" t="str">
        <x:v>КМП КОЛЕЦ К-03Ш-2-6-140*120*90-КГФ-Д</x:v>
      </x:c>
      <x:c r="D10" s="16" t="str">
        <x:v>Асбо-технические изделия</x:v>
      </x:c>
      <x:c r="E10" s="16" t="str">
        <x:v>ШТ</x:v>
      </x:c>
      <x:c r="F10" s="21" t="n">
        <x:v>10</x:v>
      </x:c>
      <x:c r="G10" s="17" t="n">
        <x:v>473.66499999999996</x:v>
      </x:c>
      <x:c r="H10" s="17" t="n">
        <x:f>G10*F10</x:f>
        <x:v>4736.65</x:v>
      </x:c>
      <x:c r="I10" s="22" t="str">
        <x:f>HYPERLINK("https://etp-aktiv.ru/catalog/materialy/asbo-tekhnicheskie-izdeliya/2000707258-U112/","Открыть позицию")</x:f>
        <x:v>Открыть позицию</x:v>
      </x:c>
    </x:row>
    <x:row r="11" ht="28" customHeight="1">
      <x:c r="A11" s="16" t="str">
        <x:v>Беловская ГРЭС</x:v>
      </x:c>
      <x:c r="B11" s="16" t="str">
        <x:v>2000707257-U112</x:v>
      </x:c>
      <x:c r="C11" s="16" t="str">
        <x:v>КМП КОЛЕЦ К-03Ш-2-8-100*70*90-КГФ-Д</x:v>
      </x:c>
      <x:c r="D11" s="16" t="str">
        <x:v>Асбо-технические изделия</x:v>
      </x:c>
      <x:c r="E11" s="16" t="str">
        <x:v>ШТ</x:v>
      </x:c>
      <x:c r="F11" s="21" t="n">
        <x:v>72</x:v>
      </x:c>
      <x:c r="G11" s="17" t="n">
        <x:v>488.427</x:v>
      </x:c>
      <x:c r="H11" s="17" t="n">
        <x:f>G11*F11</x:f>
        <x:v>35166.744</x:v>
      </x:c>
      <x:c r="I11" s="22" t="str">
        <x:f>HYPERLINK("https://etp-aktiv.ru/catalog/materialy/asbo-tekhnicheskie-izdeliya/2000707257-U112/","Открыть позицию")</x:f>
        <x:v>Открыть позицию</x:v>
      </x:c>
    </x:row>
    <x:row r="12" ht="28" customHeight="1">
      <x:c r="A12" s="16" t="str">
        <x:v>Беловская ГРЭС</x:v>
      </x:c>
      <x:c r="B12" s="16" t="str">
        <x:v>2000538935-U112</x:v>
      </x:c>
      <x:c r="C12" s="16" t="str">
        <x:v>КОЛЬЦО 00-В-Б ГФ-2 56*36*10</x:v>
      </x:c>
      <x:c r="D12" s="16" t="str">
        <x:v>Асбо-технические изделия</x:v>
      </x:c>
      <x:c r="E12" s="16" t="str">
        <x:v>ШТ</x:v>
      </x:c>
      <x:c r="F12" s="21" t="n">
        <x:v>50</x:v>
      </x:c>
      <x:c r="G12" s="17" t="n">
        <x:v>36.0022</x:v>
      </x:c>
      <x:c r="H12" s="17" t="n">
        <x:f>G12*F12</x:f>
        <x:v>1800.1100000000001</x:v>
      </x:c>
      <x:c r="I12" s="22" t="str">
        <x:f>HYPERLINK("https://etp-aktiv.ru/catalog/materialy/asbo-tekhnicheskie-izdeliya/2000538935-U112/","Открыть позицию")</x:f>
        <x:v>Открыть позицию</x:v>
      </x:c>
    </x:row>
    <x:row r="13" ht="28" customHeight="1">
      <x:c r="A13" s="16" t="str">
        <x:v>Беловская ГРЭС</x:v>
      </x:c>
      <x:c r="B13" s="16" t="str">
        <x:v>2000606259-U112</x:v>
      </x:c>
      <x:c r="C13" s="16" t="str">
        <x:v>КОЛЬЦО 00-В-Б-300*255*22,5 ГФ2</x:v>
      </x:c>
      <x:c r="D13" s="16" t="str">
        <x:v>Асбо-технические изделия</x:v>
      </x:c>
      <x:c r="E13" s="16" t="str">
        <x:v>ШТ</x:v>
      </x:c>
      <x:c r="F13" s="21" t="n">
        <x:v>19</x:v>
      </x:c>
      <x:c r="G13" s="17" t="n">
        <x:v>384.9344</x:v>
      </x:c>
      <x:c r="H13" s="17" t="n">
        <x:f>G13*F13</x:f>
        <x:v>7313.7536</x:v>
      </x:c>
      <x:c r="I13" s="22" t="str">
        <x:f>HYPERLINK("https://etp-aktiv.ru/catalog/materialy/asbo-tekhnicheskie-izdeliya/2000606259-U112/","Открыть позицию")</x:f>
        <x:v>Открыть позицию</x:v>
      </x:c>
    </x:row>
    <x:row r="14" ht="28" customHeight="1">
      <x:c r="A14" s="16" t="str">
        <x:v>Беловская ГРЭС</x:v>
      </x:c>
      <x:c r="B14" s="16" t="str">
        <x:v>2000593697-U112</x:v>
      </x:c>
      <x:c r="C14" s="16" t="str">
        <x:v>КОЛЬЦО 00-В-Б-360*320*15 ГФ-2</x:v>
      </x:c>
      <x:c r="D14" s="16" t="str">
        <x:v>Асбо-технические изделия</x:v>
      </x:c>
      <x:c r="E14" s="16" t="str">
        <x:v>ШТ</x:v>
      </x:c>
      <x:c r="F14" s="21" t="n">
        <x:v>12</x:v>
      </x:c>
      <x:c r="G14" s="17" t="n">
        <x:v>1025.9468</x:v>
      </x:c>
      <x:c r="H14" s="17" t="n">
        <x:f>G14*F14</x:f>
        <x:v>12311.3616</x:v>
      </x:c>
      <x:c r="I14" s="22" t="str">
        <x:f>HYPERLINK("https://etp-aktiv.ru/catalog/materialy/asbo-tekhnicheskie-izdeliya/2000593697-U112/","Открыть позицию")</x:f>
        <x:v>Открыть позицию</x:v>
      </x:c>
    </x:row>
    <x:row r="15" ht="28" customHeight="1">
      <x:c r="A15" s="16" t="str">
        <x:v>Беловская ГРЭС</x:v>
      </x:c>
      <x:c r="B15" s="16" t="str">
        <x:v>2000572295-U112</x:v>
      </x:c>
      <x:c r="C15" s="16" t="str">
        <x:v>КОЛЬЦО 115-125-58-2-6 ГОСТ18829-2017</x:v>
      </x:c>
      <x:c r="D15" s="16" t="str">
        <x:v>Резино-технические изделия прочие</x:v>
      </x:c>
      <x:c r="E15" s="16" t="str">
        <x:v>ШТ</x:v>
      </x:c>
      <x:c r="F15" s="21" t="n">
        <x:v>1</x:v>
      </x:c>
      <x:c r="G15" s="17" t="n">
        <x:v>420.9</x:v>
      </x:c>
      <x:c r="H15" s="17" t="n">
        <x:f>G15*F15</x:f>
        <x:v>420.9</x:v>
      </x:c>
      <x:c r="I15" s="22" t="str">
        <x:f>HYPERLINK("https://etp-aktiv.ru/catalog/materialy/rezino-tekhnicheskie-izdeliya/2000572295-U112/","Открыть позицию")</x:f>
        <x:v>Открыть позицию</x:v>
      </x:c>
    </x:row>
    <x:row r="16" ht="28" customHeight="1">
      <x:c r="A16" s="16" t="str">
        <x:v>Беловская ГРЭС</x:v>
      </x:c>
      <x:c r="B16" s="16" t="str">
        <x:v>2000572297-U112</x:v>
      </x:c>
      <x:c r="C16" s="16" t="str">
        <x:v>КОЛЬЦО 160-170-58-2-6 ГОСТ18829-2017</x:v>
      </x:c>
      <x:c r="D16" s="16" t="str">
        <x:v>Резино-технические изделия прочие</x:v>
      </x:c>
      <x:c r="E16" s="16" t="str">
        <x:v>ШТ</x:v>
      </x:c>
      <x:c r="F16" s="21" t="n">
        <x:v>5</x:v>
      </x:c>
      <x:c r="G16" s="17" t="n">
        <x:v>576.4499999999999</x:v>
      </x:c>
      <x:c r="H16" s="17" t="n">
        <x:f>G16*F16</x:f>
        <x:v>2882.2499999999995</x:v>
      </x:c>
      <x:c r="I16" s="22" t="str">
        <x:f>HYPERLINK("https://etp-aktiv.ru/catalog/materialy/rezino-tekhnicheskie-izdeliya/2000572297-U112/","Открыть позицию")</x:f>
        <x:v>Открыть позицию</x:v>
      </x:c>
    </x:row>
    <x:row r="17" ht="28" customHeight="1">
      <x:c r="A17" s="16" t="str">
        <x:v>Беловская ГРЭС</x:v>
      </x:c>
      <x:c r="B17" s="16" t="str">
        <x:v>2000572299-U112</x:v>
      </x:c>
      <x:c r="C17" s="16" t="str">
        <x:v>КОЛЬЦО 190-200-58-2-6 ГОСТ18829-2017</x:v>
      </x:c>
      <x:c r="D17" s="16" t="str">
        <x:v>Резино-технические изделия прочие</x:v>
      </x:c>
      <x:c r="E17" s="16" t="str">
        <x:v>ШТ</x:v>
      </x:c>
      <x:c r="F17" s="21" t="n">
        <x:v>2</x:v>
      </x:c>
      <x:c r="G17" s="17" t="n">
        <x:v>369.01340000000005</x:v>
      </x:c>
      <x:c r="H17" s="17" t="n">
        <x:f>G17*F17</x:f>
        <x:v>738.0268000000001</x:v>
      </x:c>
      <x:c r="I17" s="22" t="str">
        <x:f>HYPERLINK("https://etp-aktiv.ru/catalog/materialy/rezino-tekhnicheskie-izdeliya/2000572299-U112/","Открыть позицию")</x:f>
        <x:v>Открыть позицию</x:v>
      </x:c>
    </x:row>
    <x:row r="18" ht="28" customHeight="1">
      <x:c r="A18" s="16" t="str">
        <x:v>Беловская ГРЭС</x:v>
      </x:c>
      <x:c r="B18" s="16" t="str">
        <x:v>2000572300-U112</x:v>
      </x:c>
      <x:c r="C18" s="16" t="str">
        <x:v>КОЛЬЦО 235-245-58-2-6 ГОСТ18829-2017</x:v>
      </x:c>
      <x:c r="D18" s="16" t="str">
        <x:v>Резино-технические изделия прочие</x:v>
      </x:c>
      <x:c r="E18" s="16" t="str">
        <x:v>ШТ</x:v>
      </x:c>
      <x:c r="F18" s="21" t="n">
        <x:v>1</x:v>
      </x:c>
      <x:c r="G18" s="17" t="n">
        <x:v>453.1324</x:v>
      </x:c>
      <x:c r="H18" s="17" t="n">
        <x:f>G18*F18</x:f>
        <x:v>453.1324</x:v>
      </x:c>
      <x:c r="I18" s="22" t="str">
        <x:f>HYPERLINK("https://etp-aktiv.ru/catalog/materialy/rezino-tekhnicheskie-izdeliya/2000572300-U112/","Открыть позицию")</x:f>
        <x:v>Открыть позицию</x:v>
      </x:c>
    </x:row>
    <x:row r="19" ht="28" customHeight="1">
      <x:c r="A19" s="16" t="str">
        <x:v>Беловская ГРЭС</x:v>
      </x:c>
      <x:c r="B19" s="16" t="str">
        <x:v>2000572302-U112</x:v>
      </x:c>
      <x:c r="C19" s="16" t="str">
        <x:v>КОЛЬЦО 440-450-58-2-6 ГОСТ18829-2017</x:v>
      </x:c>
      <x:c r="D19" s="16" t="str">
        <x:v>Резино-технические изделия прочие</x:v>
      </x:c>
      <x:c r="E19" s="16" t="str">
        <x:v>ШТ</x:v>
      </x:c>
      <x:c r="F19" s="21" t="n">
        <x:v>2</x:v>
      </x:c>
      <x:c r="G19" s="17" t="n">
        <x:v>855.9154000000001</x:v>
      </x:c>
      <x:c r="H19" s="17" t="n">
        <x:f>G19*F19</x:f>
        <x:v>1711.8308000000002</x:v>
      </x:c>
      <x:c r="I19" s="22" t="str">
        <x:f>HYPERLINK("https://etp-aktiv.ru/catalog/materialy/rezino-tekhnicheskie-izdeliya/2000572302-U112/","Открыть позицию")</x:f>
        <x:v>Открыть позицию</x:v>
      </x:c>
    </x:row>
    <x:row r="20" ht="28" customHeight="1">
      <x:c r="A20" s="16" t="str">
        <x:v>Беловская ГРЭС</x:v>
      </x:c>
      <x:c r="B20" s="16" t="str">
        <x:v>2000538981-U112</x:v>
      </x:c>
      <x:c r="C20" s="16" t="str">
        <x:v>КОЛЬЦО АГ-50 170*145*12,5</x:v>
      </x:c>
      <x:c r="D20" s="16" t="str">
        <x:v>Асбо-технические изделия</x:v>
      </x:c>
      <x:c r="E20" s="16" t="str">
        <x:v>ШТ</x:v>
      </x:c>
      <x:c r="F20" s="21" t="n">
        <x:v>26</x:v>
      </x:c>
      <x:c r="G20" s="17" t="n">
        <x:v>581.7325999999999</x:v>
      </x:c>
      <x:c r="H20" s="17" t="n">
        <x:f>G20*F20</x:f>
        <x:v>15125.047599999998</x:v>
      </x:c>
      <x:c r="I20" s="22" t="str">
        <x:f>HYPERLINK("https://etp-aktiv.ru/catalog/materialy/asbo-tekhnicheskie-izdeliya/2000538981-U112/","Открыть позицию")</x:f>
        <x:v>Открыть позицию</x:v>
      </x:c>
    </x:row>
    <x:row r="21" ht="28" customHeight="1">
      <x:c r="A21" s="16" t="str">
        <x:v>Беловская ГРЭС</x:v>
      </x:c>
      <x:c r="B21" s="16" t="str">
        <x:v>2000538982-U112</x:v>
      </x:c>
      <x:c r="C21" s="16" t="str">
        <x:v>КОЛЬЦО АГ-50 170*150*10</x:v>
      </x:c>
      <x:c r="D21" s="16" t="str">
        <x:v>Асбо-технические изделия</x:v>
      </x:c>
      <x:c r="E21" s="16" t="str">
        <x:v>ШТ</x:v>
      </x:c>
      <x:c r="F21" s="21" t="n">
        <x:v>198</x:v>
      </x:c>
      <x:c r="G21" s="17" t="n">
        <x:v>579.3292</x:v>
      </x:c>
      <x:c r="H21" s="17" t="n">
        <x:f>G21*F21</x:f>
        <x:v>114707.1816</x:v>
      </x:c>
      <x:c r="I21" s="22" t="str">
        <x:f>HYPERLINK("https://etp-aktiv.ru/catalog/materialy/asbo-tekhnicheskie-izdeliya/2000538982-U112/","Открыть позицию")</x:f>
        <x:v>Открыть позицию</x:v>
      </x:c>
    </x:row>
    <x:row r="22" ht="28" customHeight="1">
      <x:c r="A22" s="16" t="str">
        <x:v>Беловская ГРЭС</x:v>
      </x:c>
      <x:c r="B22" s="16" t="str">
        <x:v>2000538984-U112</x:v>
      </x:c>
      <x:c r="C22" s="16" t="str">
        <x:v>КОЛЬЦО АГ-50 24*14*5</x:v>
      </x:c>
      <x:c r="D22" s="16" t="str">
        <x:v>Асбо-технические изделия</x:v>
      </x:c>
      <x:c r="E22" s="16" t="str">
        <x:v>ШТ</x:v>
      </x:c>
      <x:c r="F22" s="21" t="n">
        <x:v>174</x:v>
      </x:c>
      <x:c r="G22" s="17" t="n">
        <x:v>183</x:v>
      </x:c>
      <x:c r="H22" s="17" t="n">
        <x:f>G22*F22</x:f>
        <x:v>31842</x:v>
      </x:c>
      <x:c r="I22" s="22" t="str">
        <x:f>HYPERLINK("https://etp-aktiv.ru/catalog/materialy/asbo-tekhnicheskie-izdeliya/2000538984-U112/","Открыть позицию")</x:f>
        <x:v>Открыть позицию</x:v>
      </x:c>
    </x:row>
    <x:row r="23" ht="28" customHeight="1">
      <x:c r="A23" s="16" t="str">
        <x:v>Беловская ГРЭС</x:v>
      </x:c>
      <x:c r="B23" s="16" t="str">
        <x:v>2000538988-U112</x:v>
      </x:c>
      <x:c r="C23" s="16" t="str">
        <x:v>КОЛЬЦО АГ-50 300*270*15</x:v>
      </x:c>
      <x:c r="D23" s="16" t="str">
        <x:v>Асбо-технические изделия</x:v>
      </x:c>
      <x:c r="E23" s="16" t="str">
        <x:v>ШТ</x:v>
      </x:c>
      <x:c r="F23" s="21" t="n">
        <x:v>142</x:v>
      </x:c>
      <x:c r="G23" s="17" t="n">
        <x:v>1277.218</x:v>
      </x:c>
      <x:c r="H23" s="17" t="n">
        <x:f>G23*F23</x:f>
        <x:v>181364.956</x:v>
      </x:c>
      <x:c r="I23" s="22" t="str">
        <x:f>HYPERLINK("https://etp-aktiv.ru/catalog/materialy/asbo-tekhnicheskie-izdeliya/2000538988-U112/","Открыть позицию")</x:f>
        <x:v>Открыть позицию</x:v>
      </x:c>
    </x:row>
    <x:row r="24" ht="28" customHeight="1">
      <x:c r="A24" s="16" t="str">
        <x:v>Беловская ГРЭС</x:v>
      </x:c>
      <x:c r="B24" s="16" t="str">
        <x:v>2000538989-U112</x:v>
      </x:c>
      <x:c r="C24" s="16" t="str">
        <x:v>КОЛЬЦО АГ-50 32*20*6</x:v>
      </x:c>
      <x:c r="D24" s="16" t="str">
        <x:v>Асбо-технические изделия</x:v>
      </x:c>
      <x:c r="E24" s="16" t="str">
        <x:v>ШТ</x:v>
      </x:c>
      <x:c r="F24" s="21" t="n">
        <x:v>173</x:v>
      </x:c>
      <x:c r="G24" s="17" t="n">
        <x:v>155.794</x:v>
      </x:c>
      <x:c r="H24" s="17" t="n">
        <x:f>G24*F24</x:f>
        <x:v>26952.362</x:v>
      </x:c>
      <x:c r="I24" s="22" t="str">
        <x:f>HYPERLINK("https://etp-aktiv.ru/catalog/materialy/asbo-tekhnicheskie-izdeliya/2000538989-U112/","Открыть позицию")</x:f>
        <x:v>Открыть позицию</x:v>
      </x:c>
    </x:row>
    <x:row r="25" ht="28" customHeight="1">
      <x:c r="A25" s="16" t="str">
        <x:v>Беловская ГРЭС</x:v>
      </x:c>
      <x:c r="B25" s="16" t="str">
        <x:v>2000688055-U112</x:v>
      </x:c>
      <x:c r="C25" s="16" t="str">
        <x:v>КОЛЬЦО АГ-50 320*270*15</x:v>
      </x:c>
      <x:c r="D25" s="16" t="str">
        <x:v>Асбо-технические изделия</x:v>
      </x:c>
      <x:c r="E25" s="16" t="str">
        <x:v>ШТ</x:v>
      </x:c>
      <x:c r="F25" s="21" t="n">
        <x:v>12</x:v>
      </x:c>
      <x:c r="G25" s="17" t="n">
        <x:v>1454.85</x:v>
      </x:c>
      <x:c r="H25" s="17" t="n">
        <x:f>G25*F25</x:f>
        <x:v>17458.199999999997</x:v>
      </x:c>
      <x:c r="I25" s="22" t="str">
        <x:f>HYPERLINK("https://etp-aktiv.ru/catalog/materialy/asbo-tekhnicheskie-izdeliya/2000688055-U112/","Открыть позицию")</x:f>
        <x:v>Открыть позицию</x:v>
      </x:c>
    </x:row>
    <x:row r="26" ht="28" customHeight="1">
      <x:c r="A26" s="16" t="str">
        <x:v>Беловская ГРЭС</x:v>
      </x:c>
      <x:c r="B26" s="16" t="str">
        <x:v>2000538991-U112</x:v>
      </x:c>
      <x:c r="C26" s="16" t="str">
        <x:v>КОЛЬЦО АГ-50 36*24*6</x:v>
      </x:c>
      <x:c r="D26" s="16" t="str">
        <x:v>Асбо-технические изделия</x:v>
      </x:c>
      <x:c r="E26" s="16" t="str">
        <x:v>ШТ</x:v>
      </x:c>
      <x:c r="F26" s="21" t="n">
        <x:v>140</x:v>
      </x:c>
      <x:c r="G26" s="17" t="n">
        <x:v>183</x:v>
      </x:c>
      <x:c r="H26" s="17" t="n">
        <x:f>G26*F26</x:f>
        <x:v>25620</x:v>
      </x:c>
      <x:c r="I26" s="22" t="str">
        <x:f>HYPERLINK("https://etp-aktiv.ru/catalog/materialy/asbo-tekhnicheskie-izdeliya/2000538991-U112/","Открыть позицию")</x:f>
        <x:v>Открыть позицию</x:v>
      </x:c>
    </x:row>
    <x:row r="27" ht="28" customHeight="1">
      <x:c r="A27" s="16" t="str">
        <x:v>Беловская ГРЭС</x:v>
      </x:c>
      <x:c r="B27" s="16" t="str">
        <x:v>2000538994-U112</x:v>
      </x:c>
      <x:c r="C27" s="16" t="str">
        <x:v>КОЛЬЦО АГ-50 46*30*8</x:v>
      </x:c>
      <x:c r="D27" s="16" t="str">
        <x:v>Асбо-технические изделия</x:v>
      </x:c>
      <x:c r="E27" s="16" t="str">
        <x:v>ШТ</x:v>
      </x:c>
      <x:c r="F27" s="21" t="n">
        <x:v>567</x:v>
      </x:c>
      <x:c r="G27" s="17" t="n">
        <x:v>221.8936</x:v>
      </x:c>
      <x:c r="H27" s="17" t="n">
        <x:f>G27*F27</x:f>
        <x:v>125813.6712</x:v>
      </x:c>
      <x:c r="I27" s="22" t="str">
        <x:f>HYPERLINK("https://etp-aktiv.ru/catalog/materialy/asbo-tekhnicheskie-izdeliya/2000538994-U112/","Открыть позицию")</x:f>
        <x:v>Открыть позицию</x:v>
      </x:c>
    </x:row>
    <x:row r="28" ht="28" customHeight="1">
      <x:c r="A28" s="16" t="str">
        <x:v>Беловская ГРЭС</x:v>
      </x:c>
      <x:c r="B28" s="16" t="str">
        <x:v>2000538995-U112</x:v>
      </x:c>
      <x:c r="C28" s="16" t="str">
        <x:v>КОЛЬЦО АГ-50 52*36*8</x:v>
      </x:c>
      <x:c r="D28" s="16" t="str">
        <x:v>Асбо-технические изделия</x:v>
      </x:c>
      <x:c r="E28" s="16" t="str">
        <x:v>ШТ</x:v>
      </x:c>
      <x:c r="F28" s="21" t="n">
        <x:v>413</x:v>
      </x:c>
      <x:c r="G28" s="17" t="n">
        <x:v>234.5084</x:v>
      </x:c>
      <x:c r="H28" s="17" t="n">
        <x:f>G28*F28</x:f>
        <x:v>96851.96919999999</x:v>
      </x:c>
      <x:c r="I28" s="22" t="str">
        <x:f>HYPERLINK("https://etp-aktiv.ru/catalog/materialy/asbo-tekhnicheskie-izdeliya/2000538995-U112/","Открыть позицию")</x:f>
        <x:v>Открыть позицию</x:v>
      </x:c>
    </x:row>
    <x:row r="29" ht="28" customHeight="1">
      <x:c r="A29" s="16" t="str">
        <x:v>Беловская ГРЭС</x:v>
      </x:c>
      <x:c r="B29" s="16" t="str">
        <x:v>2000570306-U112</x:v>
      </x:c>
      <x:c r="C29" s="16" t="str">
        <x:v>КОЛЬЦО АГ-50 64*44*10</x:v>
      </x:c>
      <x:c r="D29" s="16" t="str">
        <x:v>Асбо-технические изделия</x:v>
      </x:c>
      <x:c r="E29" s="16" t="str">
        <x:v>ШТ</x:v>
      </x:c>
      <x:c r="F29" s="21" t="n">
        <x:v>64</x:v>
      </x:c>
      <x:c r="G29" s="17" t="n">
        <x:v>247.0744</x:v>
      </x:c>
      <x:c r="H29" s="17" t="n">
        <x:f>G29*F29</x:f>
        <x:v>15812.7616</x:v>
      </x:c>
      <x:c r="I29" s="22" t="str">
        <x:f>HYPERLINK("https://etp-aktiv.ru/catalog/materialy/asbo-tekhnicheskie-izdeliya/2000570306-U112/","Открыть позицию")</x:f>
        <x:v>Открыть позицию</x:v>
      </x:c>
    </x:row>
    <x:row r="30" ht="28" customHeight="1">
      <x:c r="A30" s="16" t="str">
        <x:v>Беловская ГРЭС</x:v>
      </x:c>
      <x:c r="B30" s="16" t="str">
        <x:v>2000538998-U112</x:v>
      </x:c>
      <x:c r="C30" s="16" t="str">
        <x:v>КОЛЬЦО АГ-50 78*52*13</x:v>
      </x:c>
      <x:c r="D30" s="16" t="str">
        <x:v>Асбо-технические изделия</x:v>
      </x:c>
      <x:c r="E30" s="16" t="str">
        <x:v>ШТ</x:v>
      </x:c>
      <x:c r="F30" s="21" t="n">
        <x:v>61</x:v>
      </x:c>
      <x:c r="G30" s="17" t="n">
        <x:v>221.2104</x:v>
      </x:c>
      <x:c r="H30" s="17" t="n">
        <x:f>G30*F30</x:f>
        <x:v>13493.8344</x:v>
      </x:c>
      <x:c r="I30" s="22" t="str">
        <x:f>HYPERLINK("https://etp-aktiv.ru/catalog/materialy/asbo-tekhnicheskie-izdeliya/2000538998-U112/","Открыть позицию")</x:f>
        <x:v>Открыть позицию</x:v>
      </x:c>
    </x:row>
    <x:row r="31" ht="28" customHeight="1">
      <x:c r="A31" s="16" t="str">
        <x:v>Беловская ГРЭС</x:v>
      </x:c>
      <x:c r="B31" s="16" t="str">
        <x:v>2000539001-U112</x:v>
      </x:c>
      <x:c r="C31" s="16" t="str">
        <x:v>КОЛЬЦО АСБОГРАФИТОВОЕ АГ-50 62*36*13</x:v>
      </x:c>
      <x:c r="D31" s="16" t="str">
        <x:v>Асбо-технические изделия</x:v>
      </x:c>
      <x:c r="E31" s="16" t="str">
        <x:v>ШТ</x:v>
      </x:c>
      <x:c r="F31" s="21" t="n">
        <x:v>154</x:v>
      </x:c>
      <x:c r="G31" s="17" t="n">
        <x:v>243.14600000000002</x:v>
      </x:c>
      <x:c r="H31" s="17" t="n">
        <x:f>G31*F31</x:f>
        <x:v>37444.484000000004</x:v>
      </x:c>
      <x:c r="I31" s="22" t="str">
        <x:f>HYPERLINK("https://etp-aktiv.ru/catalog/materialy/asbo-tekhnicheskie-izdeliya/2000539001-U112/","Открыть позицию")</x:f>
        <x:v>Открыть позицию</x:v>
      </x:c>
    </x:row>
    <x:row r="32" ht="28" customHeight="1">
      <x:c r="A32" s="16" t="str">
        <x:v>Беловская ГРЭС</x:v>
      </x:c>
      <x:c r="B32" s="16" t="str">
        <x:v>2001015587-U112</x:v>
      </x:c>
      <x:c r="C32" s="16" t="str">
        <x:v>КОЛЬЦО ГРАФ УПЛ КГУ1-56*30*13 ТУ38.314</x:v>
      </x:c>
      <x:c r="D32" s="16" t="str">
        <x:v>Асбо-технические изделия</x:v>
      </x:c>
      <x:c r="E32" s="16" t="str">
        <x:v>ШТ</x:v>
      </x:c>
      <x:c r="F32" s="21" t="n">
        <x:v>16</x:v>
      </x:c>
      <x:c r="G32" s="17" t="n">
        <x:v>48.5926</x:v>
      </x:c>
      <x:c r="H32" s="17" t="n">
        <x:f>G32*F32</x:f>
        <x:v>777.4816</x:v>
      </x:c>
      <x:c r="I32" s="22" t="str">
        <x:f>HYPERLINK("https://etp-aktiv.ru/catalog/materialy/asbo-tekhnicheskie-izdeliya/2001015587-U112/","Открыть позицию")</x:f>
        <x:v>Открыть позицию</x:v>
      </x:c>
    </x:row>
    <x:row r="33" ht="28" customHeight="1">
      <x:c r="A33" s="16" t="str">
        <x:v>Беловская ГРЭС</x:v>
      </x:c>
      <x:c r="B33" s="16" t="str">
        <x:v>2000574327-U112</x:v>
      </x:c>
      <x:c r="C33" s="16" t="str">
        <x:v>КОЛЬЦО КГФ-Г 130*114*8 5728-008-13267785</x:v>
      </x:c>
      <x:c r="D33" s="16" t="str">
        <x:v>Асбо-технические изделия</x:v>
      </x:c>
      <x:c r="E33" s="16" t="str">
        <x:v>ШТ</x:v>
      </x:c>
      <x:c r="F33" s="21" t="n">
        <x:v>12</x:v>
      </x:c>
      <x:c r="G33" s="17" t="n">
        <x:v>75.335</x:v>
      </x:c>
      <x:c r="H33" s="17" t="n">
        <x:f>G33*F33</x:f>
        <x:v>904.02</x:v>
      </x:c>
      <x:c r="I33" s="22" t="str">
        <x:f>HYPERLINK("https://etp-aktiv.ru/catalog/materialy/asbo-tekhnicheskie-izdeliya/2000574327-U112/","Открыть позицию")</x:f>
        <x:v>Открыть позицию</x:v>
      </x:c>
    </x:row>
    <x:row r="34" ht="28" customHeight="1">
      <x:c r="A34" s="16" t="str">
        <x:v>Беловская ГРЭС</x:v>
      </x:c>
      <x:c r="B34" s="16" t="str">
        <x:v>2000780139-U112</x:v>
      </x:c>
      <x:c r="C34" s="16" t="str">
        <x:v>КОЛЬЦО КГФ-Г 62*36*13</x:v>
      </x:c>
      <x:c r="D34" s="16" t="str">
        <x:v>Асбо-технические изделия</x:v>
      </x:c>
      <x:c r="E34" s="16" t="str">
        <x:v>ШТ</x:v>
      </x:c>
      <x:c r="F34" s="21" t="n">
        <x:v>79</x:v>
      </x:c>
      <x:c r="G34" s="17" t="n">
        <x:v>62.098</x:v>
      </x:c>
      <x:c r="H34" s="17" t="n">
        <x:f>G34*F34</x:f>
        <x:v>4905.742</x:v>
      </x:c>
      <x:c r="I34" s="22" t="str">
        <x:f>HYPERLINK("https://etp-aktiv.ru/catalog/materialy/asbo-tekhnicheskie-izdeliya/2000780139-U112/","Открыть позицию")</x:f>
        <x:v>Открыть позицию</x:v>
      </x:c>
    </x:row>
    <x:row r="35" ht="28" customHeight="1">
      <x:c r="A35" s="16" t="str">
        <x:v>Беловская ГРЭС</x:v>
      </x:c>
      <x:c r="B35" s="16" t="str">
        <x:v>2000539046-U112</x:v>
      </x:c>
      <x:c r="C35" s="16" t="str">
        <x:v>КОЛЬЦО ТРГ 00-В-Б 166*158*14</x:v>
      </x:c>
      <x:c r="D35" s="16" t="str">
        <x:v>Асбо-технические изделия</x:v>
      </x:c>
      <x:c r="E35" s="16" t="str">
        <x:v>ШТ</x:v>
      </x:c>
      <x:c r="F35" s="21" t="n">
        <x:v>3</x:v>
      </x:c>
      <x:c r="G35" s="17" t="n">
        <x:v>452.0222</x:v>
      </x:c>
      <x:c r="H35" s="17" t="n">
        <x:f>G35*F35</x:f>
        <x:v>1356.0666</x:v>
      </x:c>
      <x:c r="I35" s="22" t="str">
        <x:f>HYPERLINK("https://etp-aktiv.ru/catalog/materialy/asbo-tekhnicheskie-izdeliya/2000539046-U112/","Открыть позицию")</x:f>
        <x:v>Открыть позицию</x:v>
      </x:c>
    </x:row>
    <x:row r="36" ht="28" customHeight="1">
      <x:c r="A36" s="16" t="str">
        <x:v>Беловская ГРЭС</x:v>
      </x:c>
      <x:c r="B36" s="16" t="str">
        <x:v>2000539047-U112</x:v>
      </x:c>
      <x:c r="C36" s="16" t="str">
        <x:v>КОЛЬЦО ТРГ 00-В-Б 175*166*14</x:v>
      </x:c>
      <x:c r="D36" s="16" t="str">
        <x:v>Асбо-технические изделия</x:v>
      </x:c>
      <x:c r="E36" s="16" t="str">
        <x:v>ШТ</x:v>
      </x:c>
      <x:c r="F36" s="21" t="n">
        <x:v>5</x:v>
      </x:c>
      <x:c r="G36" s="17" t="n">
        <x:v>142.74</x:v>
      </x:c>
      <x:c r="H36" s="17" t="n">
        <x:f>G36*F36</x:f>
        <x:v>713.7</x:v>
      </x:c>
      <x:c r="I36" s="22" t="str">
        <x:f>HYPERLINK("https://etp-aktiv.ru/catalog/materialy/asbo-tekhnicheskie-izdeliya/2000539047-U112/","Открыть позицию")</x:f>
        <x:v>Открыть позицию</x:v>
      </x:c>
    </x:row>
    <x:row r="37" ht="28" customHeight="1">
      <x:c r="A37" s="16" t="str">
        <x:v>Беловская ГРЭС</x:v>
      </x:c>
      <x:c r="B37" s="16" t="str">
        <x:v>2000539048-U112</x:v>
      </x:c>
      <x:c r="C37" s="16" t="str">
        <x:v>КОЛЬЦО ТРГ 00-В-Б 275*320*35</x:v>
      </x:c>
      <x:c r="D37" s="16" t="str">
        <x:v>Асбо-технические изделия</x:v>
      </x:c>
      <x:c r="E37" s="16" t="str">
        <x:v>ШТ</x:v>
      </x:c>
      <x:c r="F37" s="21" t="n">
        <x:v>16</x:v>
      </x:c>
      <x:c r="G37" s="17" t="n">
        <x:v>6821.3128</x:v>
      </x:c>
      <x:c r="H37" s="17" t="n">
        <x:f>G37*F37</x:f>
        <x:v>109141.0048</x:v>
      </x:c>
      <x:c r="I37" s="22" t="str">
        <x:f>HYPERLINK("https://etp-aktiv.ru/catalog/materialy/asbo-tekhnicheskie-izdeliya/2000539048-U112/","Открыть позицию")</x:f>
        <x:v>Открыть позицию</x:v>
      </x:c>
    </x:row>
    <x:row r="38" ht="28" customHeight="1">
      <x:c r="A38" s="16" t="str">
        <x:v>Беловская ГРЭС</x:v>
      </x:c>
      <x:c r="B38" s="16" t="str">
        <x:v>2000673531-U112</x:v>
      </x:c>
      <x:c r="C38" s="16" t="str">
        <x:v>КОЛЬЦО ТРГ 00-В-Б 48*32*8</x:v>
      </x:c>
      <x:c r="D38" s="16" t="str">
        <x:v>Асбо-технические изделия</x:v>
      </x:c>
      <x:c r="E38" s="16" t="str">
        <x:v>ШТ</x:v>
      </x:c>
      <x:c r="F38" s="21" t="n">
        <x:v>48</x:v>
      </x:c>
      <x:c r="G38" s="17" t="n">
        <x:v>20.8254</x:v>
      </x:c>
      <x:c r="H38" s="17" t="n">
        <x:f>G38*F38</x:f>
        <x:v>999.6191999999999</x:v>
      </x:c>
      <x:c r="I38" s="22" t="str">
        <x:f>HYPERLINK("https://etp-aktiv.ru/catalog/materialy/asbo-tekhnicheskie-izdeliya/2000673531-U112/","Открыть позицию")</x:f>
        <x:v>Открыть позицию</x:v>
      </x:c>
    </x:row>
    <x:row r="39" ht="28" customHeight="1">
      <x:c r="A39" s="16" t="str">
        <x:v>Беловская ГРЭС</x:v>
      </x:c>
      <x:c r="B39" s="16" t="str">
        <x:v>2000001003-U112</x:v>
      </x:c>
      <x:c r="C39" s="16" t="str">
        <x:v>МАНЖЕТА 1,1-50*70-1 ГОСТ8752-79</x:v>
      </x:c>
      <x:c r="D39" s="16" t="str">
        <x:v>Резино-технические изделия прочие</x:v>
      </x:c>
      <x:c r="E39" s="16" t="str">
        <x:v>ШТ</x:v>
      </x:c>
      <x:c r="F39" s="21" t="n">
        <x:v>20</x:v>
      </x:c>
      <x:c r="G39" s="17" t="n">
        <x:v>16.7994</x:v>
      </x:c>
      <x:c r="H39" s="17" t="n">
        <x:f>G39*F39</x:f>
        <x:v>335.98799999999994</x:v>
      </x:c>
      <x:c r="I39" s="22" t="str">
        <x:f>HYPERLINK("https://etp-aktiv.ru/catalog/materialy/rezino-tekhnicheskie-izdeliya/2000001003-U112/","Открыть позицию")</x:f>
        <x:v>Открыть позицию</x:v>
      </x:c>
    </x:row>
    <x:row r="40" ht="28" customHeight="1">
      <x:c r="A40" s="16" t="str">
        <x:v>Беловская ГРЭС</x:v>
      </x:c>
      <x:c r="B40" s="16" t="str">
        <x:v>2000160518-U112</x:v>
      </x:c>
      <x:c r="C40" s="16" t="str">
        <x:v>МАНЖЕТА 1,2-120*150-12 ГОСТ8752-79</x:v>
      </x:c>
      <x:c r="D40" s="16" t="str">
        <x:v>Резино-технические изделия прочие</x:v>
      </x:c>
      <x:c r="E40" s="16" t="str">
        <x:v>ШТ</x:v>
      </x:c>
      <x:c r="F40" s="21" t="n">
        <x:v>1</x:v>
      </x:c>
      <x:c r="G40" s="17" t="n">
        <x:v>63.135</x:v>
      </x:c>
      <x:c r="H40" s="17" t="n">
        <x:f>G40*F40</x:f>
        <x:v>63.135</x:v>
      </x:c>
      <x:c r="I40" s="22" t="str">
        <x:f>HYPERLINK("https://etp-aktiv.ru/catalog/materialy/rezino-tekhnicheskie-izdeliya/2000160518-U112/","Открыть позицию")</x:f>
        <x:v>Открыть позицию</x:v>
      </x:c>
    </x:row>
    <x:row r="41" ht="28" customHeight="1">
      <x:c r="A41" s="16" t="str">
        <x:v>Беловская ГРЭС</x:v>
      </x:c>
      <x:c r="B41" s="16" t="str">
        <x:v>2000244705-U112</x:v>
      </x:c>
      <x:c r="C41" s="16" t="str">
        <x:v>МАНЖЕТА 1,2-25*40-1 ГОСТ8752-79</x:v>
      </x:c>
      <x:c r="D41" s="16" t="str">
        <x:v>Резино-технические изделия прочие</x:v>
      </x:c>
      <x:c r="E41" s="16" t="str">
        <x:v>ШТ</x:v>
      </x:c>
      <x:c r="F41" s="21" t="n">
        <x:v>1</x:v>
      </x:c>
      <x:c r="G41" s="17" t="n">
        <x:v>48.8488</x:v>
      </x:c>
      <x:c r="H41" s="17" t="n">
        <x:f>G41*F41</x:f>
        <x:v>48.8488</x:v>
      </x:c>
      <x:c r="I41" s="22" t="str">
        <x:f>HYPERLINK("https://etp-aktiv.ru/catalog/materialy/rezino-tekhnicheskie-izdeliya/2000244705-U112/","Открыть позицию")</x:f>
        <x:v>Открыть позицию</x:v>
      </x:c>
    </x:row>
    <x:row r="42" ht="28" customHeight="1">
      <x:c r="A42" s="16" t="str">
        <x:v>Беловская ГРЭС</x:v>
      </x:c>
      <x:c r="B42" s="16" t="str">
        <x:v>2000000652-U112</x:v>
      </x:c>
      <x:c r="C42" s="16" t="str">
        <x:v>МАНЖЕТА 1,2-25*42-1 ГОСТ8752-79</x:v>
      </x:c>
      <x:c r="D42" s="16" t="str">
        <x:v>Резино-технические изделия прочие</x:v>
      </x:c>
      <x:c r="E42" s="16" t="str">
        <x:v>ШТ</x:v>
      </x:c>
      <x:c r="F42" s="21" t="n">
        <x:v>7</x:v>
      </x:c>
      <x:c r="G42" s="17" t="n">
        <x:v>14.701</x:v>
      </x:c>
      <x:c r="H42" s="17" t="n">
        <x:f>G42*F42</x:f>
        <x:v>102.90700000000001</x:v>
      </x:c>
      <x:c r="I42" s="22" t="str">
        <x:f>HYPERLINK("https://etp-aktiv.ru/catalog/materialy/rezino-tekhnicheskie-izdeliya/2000000652-U112/","Открыть позицию")</x:f>
        <x:v>Открыть позицию</x:v>
      </x:c>
    </x:row>
    <x:row r="43" ht="28" customHeight="1">
      <x:c r="A43" s="16" t="str">
        <x:v>Беловская ГРЭС</x:v>
      </x:c>
      <x:c r="B43" s="16" t="str">
        <x:v>2000148789-U112</x:v>
      </x:c>
      <x:c r="C43" s="16" t="str">
        <x:v>МАНЖЕТА 1,2-45*65-10 ГОСТ8752-79</x:v>
      </x:c>
      <x:c r="D43" s="16" t="str">
        <x:v>Резино-технические изделия прочие</x:v>
      </x:c>
      <x:c r="E43" s="16" t="str">
        <x:v>ШТ</x:v>
      </x:c>
      <x:c r="F43" s="21" t="n">
        <x:v>4</x:v>
      </x:c>
      <x:c r="G43" s="17" t="n">
        <x:v>11.2484</x:v>
      </x:c>
      <x:c r="H43" s="17" t="n">
        <x:f>G43*F43</x:f>
        <x:v>44.9936</x:v>
      </x:c>
      <x:c r="I43" s="22" t="str">
        <x:f>HYPERLINK("https://etp-aktiv.ru/catalog/materialy/rezino-tekhnicheskie-izdeliya/2000148789-U112/","Открыть позицию")</x:f>
        <x:v>Открыть позицию</x:v>
      </x:c>
    </x:row>
    <x:row r="44" ht="28" customHeight="1">
      <x:c r="A44" s="16" t="str">
        <x:v>Беловская ГРЭС</x:v>
      </x:c>
      <x:c r="B44" s="16" t="str">
        <x:v>2000333562-U112</x:v>
      </x:c>
      <x:c r="C44" s="16" t="str">
        <x:v>МАНЖЕТА 2,2-120*150*15 ГОСТ8752-79</x:v>
      </x:c>
      <x:c r="D44" s="16" t="str">
        <x:v>Резино-технические изделия прочие</x:v>
      </x:c>
      <x:c r="E44" s="16" t="str">
        <x:v>ШТ</x:v>
      </x:c>
      <x:c r="F44" s="21" t="n">
        <x:v>1</x:v>
      </x:c>
      <x:c r="G44" s="17" t="n">
        <x:v>122.39039999999999</x:v>
      </x:c>
      <x:c r="H44" s="17" t="n">
        <x:f>G44*F44</x:f>
        <x:v>122.39039999999999</x:v>
      </x:c>
      <x:c r="I44" s="22" t="str">
        <x:f>HYPERLINK("https://etp-aktiv.ru/catalog/materialy/rezino-tekhnicheskie-izdeliya/2000333562-U112/","Открыть позицию")</x:f>
        <x:v>Открыть позицию</x:v>
      </x:c>
    </x:row>
    <x:row r="45" ht="28" customHeight="1">
      <x:c r="A45" s="16" t="str">
        <x:v>Беловская ГРЭС</x:v>
      </x:c>
      <x:c r="B45" s="16" t="str">
        <x:v>2000546710-U112</x:v>
      </x:c>
      <x:c r="C45" s="16" t="str">
        <x:v>МАНЖЕТА 2,2-38*58-1 ГОСТ8752-79</x:v>
      </x:c>
      <x:c r="D45" s="16" t="str">
        <x:v>Резино-технические изделия прочие</x:v>
      </x:c>
      <x:c r="E45" s="16" t="str">
        <x:v>ШТ</x:v>
      </x:c>
      <x:c r="F45" s="21" t="n">
        <x:v>12</x:v>
      </x:c>
      <x:c r="G45" s="17" t="n">
        <x:v>15.0304</x:v>
      </x:c>
      <x:c r="H45" s="17" t="n">
        <x:f>G45*F45</x:f>
        <x:v>180.3648</x:v>
      </x:c>
      <x:c r="I45" s="22" t="str">
        <x:f>HYPERLINK("https://etp-aktiv.ru/catalog/materialy/rezino-tekhnicheskie-izdeliya/2000546710-U112/","Открыть позицию")</x:f>
        <x:v>Открыть позицию</x:v>
      </x:c>
    </x:row>
    <x:row r="46" ht="28" customHeight="1">
      <x:c r="A46" s="16" t="str">
        <x:v>Беловская ГРЭС</x:v>
      </x:c>
      <x:c r="B46" s="16" t="str">
        <x:v>2000546738-U112</x:v>
      </x:c>
      <x:c r="C46" s="16" t="str">
        <x:v>МАНЖЕТА 2,2-50*70-1 ГОСТ8752-79</x:v>
      </x:c>
      <x:c r="D46" s="16" t="str">
        <x:v>Резино-технические изделия прочие</x:v>
      </x:c>
      <x:c r="E46" s="16" t="str">
        <x:v>ШТ</x:v>
      </x:c>
      <x:c r="F46" s="21" t="n">
        <x:v>8</x:v>
      </x:c>
      <x:c r="G46" s="17" t="n">
        <x:v>15.5306</x:v>
      </x:c>
      <x:c r="H46" s="17" t="n">
        <x:f>G46*F46</x:f>
        <x:v>124.2448</x:v>
      </x:c>
      <x:c r="I46" s="22" t="str">
        <x:f>HYPERLINK("https://etp-aktiv.ru/catalog/materialy/rezino-tekhnicheskie-izdeliya/2000546738-U112/","Открыть позицию")</x:f>
        <x:v>Открыть позицию</x:v>
      </x:c>
    </x:row>
    <x:row r="47" ht="28" customHeight="1">
      <x:c r="A47" s="16" t="str">
        <x:v>Беловская ГРЭС</x:v>
      </x:c>
      <x:c r="B47" s="16" t="str">
        <x:v>2000358088-U112</x:v>
      </x:c>
      <x:c r="C47" s="16" t="str">
        <x:v>МАНЖЕТА 2,2-60*85-1 ГОСТ8752-79</x:v>
      </x:c>
      <x:c r="D47" s="16" t="str">
        <x:v>Резино-технические изделия прочие</x:v>
      </x:c>
      <x:c r="E47" s="16" t="str">
        <x:v>ШТ</x:v>
      </x:c>
      <x:c r="F47" s="21" t="n">
        <x:v>4</x:v>
      </x:c>
      <x:c r="G47" s="17" t="n">
        <x:v>32.6228</x:v>
      </x:c>
      <x:c r="H47" s="17" t="n">
        <x:f>G47*F47</x:f>
        <x:v>130.4912</x:v>
      </x:c>
      <x:c r="I47" s="22" t="str">
        <x:f>HYPERLINK("https://etp-aktiv.ru/catalog/materialy/rezino-tekhnicheskie-izdeliya/2000358088-U112/","Открыть позицию")</x:f>
        <x:v>Открыть позицию</x:v>
      </x:c>
    </x:row>
    <x:row r="48" ht="28" customHeight="1">
      <x:c r="A48" s="16" t="str">
        <x:v>Беловская ГРЭС</x:v>
      </x:c>
      <x:c r="B48" s="16" t="str">
        <x:v>2000539143-U112</x:v>
      </x:c>
      <x:c r="C48" s="16" t="str">
        <x:v>НАБИВКА URTEX H 1200 10*10</x:v>
      </x:c>
      <x:c r="D48" s="16" t="str">
        <x:v>Асбо-технические изделия</x:v>
      </x:c>
      <x:c r="E48" s="16" t="str">
        <x:v>КГ</x:v>
      </x:c>
      <x:c r="F48" s="29" t="n">
        <x:v>184.5</x:v>
      </x:c>
      <x:c r="G48" s="17" t="n">
        <x:v>478.24</x:v>
      </x:c>
      <x:c r="H48" s="17" t="n">
        <x:f>G48*F48</x:f>
        <x:v>88235.28</x:v>
      </x:c>
      <x:c r="I48" s="22" t="str">
        <x:f>HYPERLINK("https://etp-aktiv.ru/catalog/materialy/asbo-tekhnicheskie-izdeliya/2000539143-U112/","Открыть позицию")</x:f>
        <x:v>Открыть позицию</x:v>
      </x:c>
    </x:row>
    <x:row r="49" ht="28" customHeight="1">
      <x:c r="A49" s="16" t="str">
        <x:v>Беловская ГРЭС</x:v>
      </x:c>
      <x:c r="B49" s="16" t="str">
        <x:v>2000031501-U112</x:v>
      </x:c>
      <x:c r="C49" s="16" t="str">
        <x:v>НАБИВКА АП-31 10ММ</x:v>
      </x:c>
      <x:c r="D49" s="16" t="str">
        <x:v>Асбо-технические изделия</x:v>
      </x:c>
      <x:c r="E49" s="16" t="str">
        <x:v>КГ</x:v>
      </x:c>
      <x:c r="F49" s="29" t="n">
        <x:v>31.9</x:v>
      </x:c>
      <x:c r="G49" s="17" t="n">
        <x:v>159.57600000000002</x:v>
      </x:c>
      <x:c r="H49" s="17" t="n">
        <x:f>G49*F49</x:f>
        <x:v>5090.4744</x:v>
      </x:c>
      <x:c r="I49" s="22" t="str">
        <x:f>HYPERLINK("https://etp-aktiv.ru/catalog/materialy/asbo-tekhnicheskie-izdeliya/2000031501-U112/","Открыть позицию")</x:f>
        <x:v>Открыть позицию</x:v>
      </x:c>
    </x:row>
    <x:row r="50" ht="28" customHeight="1">
      <x:c r="A50" s="16" t="str">
        <x:v>Беловская ГРЭС</x:v>
      </x:c>
      <x:c r="B50" s="16" t="str">
        <x:v>2000031503-U112</x:v>
      </x:c>
      <x:c r="C50" s="16" t="str">
        <x:v>НАБИВКА АП-31 12ММ</x:v>
      </x:c>
      <x:c r="D50" s="16" t="str">
        <x:v>Асбо-технические изделия</x:v>
      </x:c>
      <x:c r="E50" s="16" t="str">
        <x:v>КГ</x:v>
      </x:c>
      <x:c r="F50" s="30" t="n">
        <x:v>0.55</x:v>
      </x:c>
      <x:c r="G50" s="17" t="n">
        <x:v>237.473</x:v>
      </x:c>
      <x:c r="H50" s="17" t="n">
        <x:f>G50*F50</x:f>
        <x:v>130.61015</x:v>
      </x:c>
      <x:c r="I50" s="22" t="str">
        <x:f>HYPERLINK("https://etp-aktiv.ru/catalog/materialy/asbo-tekhnicheskie-izdeliya/2000031503-U112/","Открыть позицию")</x:f>
        <x:v>Открыть позицию</x:v>
      </x:c>
    </x:row>
    <x:row r="51" ht="28" customHeight="1">
      <x:c r="A51" s="16" t="str">
        <x:v>Беловская ГРЭС</x:v>
      </x:c>
      <x:c r="B51" s="16" t="str">
        <x:v>2000031504-U112</x:v>
      </x:c>
      <x:c r="C51" s="16" t="str">
        <x:v>НАБИВКА АП-31 14ММ</x:v>
      </x:c>
      <x:c r="D51" s="16" t="str">
        <x:v>Асбо-технические изделия</x:v>
      </x:c>
      <x:c r="E51" s="16" t="str">
        <x:v>КГ</x:v>
      </x:c>
      <x:c r="F51" s="29" t="n">
        <x:v>78.5</x:v>
      </x:c>
      <x:c r="G51" s="17" t="n">
        <x:v>194.06539999999998</x:v>
      </x:c>
      <x:c r="H51" s="17" t="n">
        <x:f>G51*F51</x:f>
        <x:v>15234.133899999999</x:v>
      </x:c>
      <x:c r="I51" s="22" t="str">
        <x:f>HYPERLINK("https://etp-aktiv.ru/catalog/materialy/asbo-tekhnicheskie-izdeliya/2000031504-U112/","Открыть позицию")</x:f>
        <x:v>Открыть позицию</x:v>
      </x:c>
    </x:row>
    <x:row r="52" ht="28" customHeight="1">
      <x:c r="A52" s="16" t="str">
        <x:v>Беловская ГРЭС</x:v>
      </x:c>
      <x:c r="B52" s="16" t="str">
        <x:v>2000031508-U112</x:v>
      </x:c>
      <x:c r="C52" s="16" t="str">
        <x:v>НАБИВКА АП-31 22ММ</x:v>
      </x:c>
      <x:c r="D52" s="16" t="str">
        <x:v>Асбо-технические изделия</x:v>
      </x:c>
      <x:c r="E52" s="16" t="str">
        <x:v>КГ</x:v>
      </x:c>
      <x:c r="F52" s="29" t="n">
        <x:v>8.3</x:v>
      </x:c>
      <x:c r="G52" s="17" t="n">
        <x:v>238.18059999999997</x:v>
      </x:c>
      <x:c r="H52" s="17" t="n">
        <x:f>G52*F52</x:f>
        <x:v>1976.89898</x:v>
      </x:c>
      <x:c r="I52" s="22" t="str">
        <x:f>HYPERLINK("https://etp-aktiv.ru/catalog/materialy/asbo-tekhnicheskie-izdeliya/2000031508-U112/","Открыть позицию")</x:f>
        <x:v>Открыть позицию</x:v>
      </x:c>
    </x:row>
    <x:row r="53" ht="28" customHeight="1">
      <x:c r="A53" s="16" t="str">
        <x:v>Беловская ГРЭС</x:v>
      </x:c>
      <x:c r="B53" s="16" t="str">
        <x:v>2000645106-U112</x:v>
      </x:c>
      <x:c r="C53" s="16" t="str">
        <x:v>НАБИВКА АП-31 8*8 СКВОЗ ПЛЕТЕН ГОСТ5152</x:v>
      </x:c>
      <x:c r="D53" s="16" t="str">
        <x:v>Асбо-технические изделия</x:v>
      </x:c>
      <x:c r="E53" s="16" t="str">
        <x:v>КГ</x:v>
      </x:c>
      <x:c r="F53" s="30" t="n">
        <x:v>0.15</x:v>
      </x:c>
      <x:c r="G53" s="17" t="n">
        <x:v>320.372</x:v>
      </x:c>
      <x:c r="H53" s="17" t="n">
        <x:f>G53*F53</x:f>
        <x:v>48.0558</x:v>
      </x:c>
      <x:c r="I53" s="22" t="str">
        <x:f>HYPERLINK("https://etp-aktiv.ru/catalog/materialy/asbo-tekhnicheskie-izdeliya/2000645106-U112/","Открыть позицию")</x:f>
        <x:v>Открыть позицию</x:v>
      </x:c>
    </x:row>
    <x:row r="54" ht="28" customHeight="1">
      <x:c r="A54" s="16" t="str">
        <x:v>Беловская ГРЭС</x:v>
      </x:c>
      <x:c r="B54" s="16" t="str">
        <x:v>2000031502-U112</x:v>
      </x:c>
      <x:c r="C54" s="16" t="str">
        <x:v>НАБИВКА АП-31 8ММ</x:v>
      </x:c>
      <x:c r="D54" s="16" t="str">
        <x:v>Асбо-технические изделия</x:v>
      </x:c>
      <x:c r="E54" s="16" t="str">
        <x:v>КГ</x:v>
      </x:c>
      <x:c r="F54" s="29" t="n">
        <x:v>6.64</x:v>
      </x:c>
      <x:c r="G54" s="17" t="n">
        <x:v>237.8146</x:v>
      </x:c>
      <x:c r="H54" s="17" t="n">
        <x:f>G54*F54</x:f>
        <x:v>1579.088944</x:v>
      </x:c>
      <x:c r="I54" s="22" t="str">
        <x:f>HYPERLINK("https://etp-aktiv.ru/catalog/materialy/asbo-tekhnicheskie-izdeliya/2000031502-U112/","Открыть позицию")</x:f>
        <x:v>Открыть позицию</x:v>
      </x:c>
    </x:row>
    <x:row r="55" ht="28" customHeight="1">
      <x:c r="A55" s="16" t="str">
        <x:v>Беловская ГРЭС</x:v>
      </x:c>
      <x:c r="B55" s="16" t="str">
        <x:v>2000031516-U112</x:v>
      </x:c>
      <x:c r="C55" s="16" t="str">
        <x:v>НАБИВКА АПР-31 16ММ</x:v>
      </x:c>
      <x:c r="D55" s="16" t="str">
        <x:v>Асбо-технические изделия</x:v>
      </x:c>
      <x:c r="E55" s="16" t="str">
        <x:v>КГ</x:v>
      </x:c>
      <x:c r="F55" s="21" t="n">
        <x:v>20</x:v>
      </x:c>
      <x:c r="G55" s="17" t="n">
        <x:v>261.5192</x:v>
      </x:c>
      <x:c r="H55" s="17" t="n">
        <x:f>G55*F55</x:f>
        <x:v>5230.384</x:v>
      </x:c>
      <x:c r="I55" s="22" t="str">
        <x:f>HYPERLINK("https://etp-aktiv.ru/catalog/materialy/asbo-tekhnicheskie-izdeliya/2000031516-U112/","Открыть позицию")</x:f>
        <x:v>Открыть позицию</x:v>
      </x:c>
    </x:row>
    <x:row r="56" ht="28" customHeight="1">
      <x:c r="A56" s="16" t="str">
        <x:v>Беловская ГРЭС</x:v>
      </x:c>
      <x:c r="B56" s="16" t="str">
        <x:v>2000140977-U112</x:v>
      </x:c>
      <x:c r="C56" s="16" t="str">
        <x:v>НАБИВКА АПР-31 20ММ</x:v>
      </x:c>
      <x:c r="D56" s="16" t="str">
        <x:v>Асбо-технические изделия</x:v>
      </x:c>
      <x:c r="E56" s="16" t="str">
        <x:v>КГ</x:v>
      </x:c>
      <x:c r="F56" s="29" t="n">
        <x:v>13.7</x:v>
      </x:c>
      <x:c r="G56" s="17" t="n">
        <x:v>262.3488</x:v>
      </x:c>
      <x:c r="H56" s="17" t="n">
        <x:f>G56*F56</x:f>
        <x:v>3594.1785599999994</x:v>
      </x:c>
      <x:c r="I56" s="22" t="str">
        <x:f>HYPERLINK("https://etp-aktiv.ru/catalog/materialy/asbo-tekhnicheskie-izdeliya/2000140977-U112/","Открыть позицию")</x:f>
        <x:v>Открыть позицию</x:v>
      </x:c>
    </x:row>
    <x:row r="57" ht="28" customHeight="1">
      <x:c r="A57" s="16" t="str">
        <x:v>Беловская ГРЭС</x:v>
      </x:c>
      <x:c r="B57" s="16" t="str">
        <x:v>2000031519-U112</x:v>
      </x:c>
      <x:c r="C57" s="16" t="str">
        <x:v>НАБИВКА АС 10ММ</x:v>
      </x:c>
      <x:c r="D57" s="16" t="str">
        <x:v>Асбо-технические изделия</x:v>
      </x:c>
      <x:c r="E57" s="16" t="str">
        <x:v>КГ</x:v>
      </x:c>
      <x:c r="F57" s="29" t="n">
        <x:v>16.46</x:v>
      </x:c>
      <x:c r="G57" s="17" t="n">
        <x:v>448.8868</x:v>
      </x:c>
      <x:c r="H57" s="17" t="n">
        <x:f>G57*F57</x:f>
        <x:v>7388.676728</x:v>
      </x:c>
      <x:c r="I57" s="22" t="str">
        <x:f>HYPERLINK("https://etp-aktiv.ru/catalog/materialy/asbo-tekhnicheskie-izdeliya/2000031519-U112/","Открыть позицию")</x:f>
        <x:v>Открыть позицию</x:v>
      </x:c>
    </x:row>
    <x:row r="58" ht="28" customHeight="1">
      <x:c r="A58" s="16" t="str">
        <x:v>Беловская ГРЭС</x:v>
      </x:c>
      <x:c r="B58" s="16" t="str">
        <x:v>2000031520-U112</x:v>
      </x:c>
      <x:c r="C58" s="16" t="str">
        <x:v>НАБИВКА АС 12ММ</x:v>
      </x:c>
      <x:c r="D58" s="16" t="str">
        <x:v>Асбо-технические изделия</x:v>
      </x:c>
      <x:c r="E58" s="16" t="str">
        <x:v>КГ</x:v>
      </x:c>
      <x:c r="F58" s="29" t="n">
        <x:v>1.35</x:v>
      </x:c>
      <x:c r="G58" s="17" t="n">
        <x:v>472.4938</x:v>
      </x:c>
      <x:c r="H58" s="17" t="n">
        <x:f>G58*F58</x:f>
        <x:v>637.8666300000001</x:v>
      </x:c>
      <x:c r="I58" s="22" t="str">
        <x:f>HYPERLINK("https://etp-aktiv.ru/catalog/materialy/asbo-tekhnicheskie-izdeliya/2000031520-U112/","Открыть позицию")</x:f>
        <x:v>Открыть позицию</x:v>
      </x:c>
    </x:row>
    <x:row r="59" ht="28" customHeight="1">
      <x:c r="A59" s="16" t="str">
        <x:v>Беловская ГРЭС</x:v>
      </x:c>
      <x:c r="B59" s="16" t="str">
        <x:v>2000165500-U112</x:v>
      </x:c>
      <x:c r="C59" s="16" t="str">
        <x:v>НАБИВКА АС 13*13</x:v>
      </x:c>
      <x:c r="D59" s="16" t="str">
        <x:v>Асбо-технические изделия</x:v>
      </x:c>
      <x:c r="E59" s="16" t="str">
        <x:v>КГ</x:v>
      </x:c>
      <x:c r="F59" s="29" t="n">
        <x:v>26.85</x:v>
      </x:c>
      <x:c r="G59" s="17" t="n">
        <x:v>290.0062</x:v>
      </x:c>
      <x:c r="H59" s="17" t="n">
        <x:f>G59*F59</x:f>
        <x:v>7786.66647</x:v>
      </x:c>
      <x:c r="I59" s="22" t="str">
        <x:f>HYPERLINK("https://etp-aktiv.ru/catalog/materialy/asbo-tekhnicheskie-izdeliya/2000165500-U112/","Открыть позицию")</x:f>
        <x:v>Открыть позицию</x:v>
      </x:c>
    </x:row>
    <x:row r="60" ht="28" customHeight="1">
      <x:c r="A60" s="16" t="str">
        <x:v>Беловская ГРЭС</x:v>
      </x:c>
      <x:c r="B60" s="16" t="str">
        <x:v>2000031524-U112</x:v>
      </x:c>
      <x:c r="C60" s="16" t="str">
        <x:v>НАБИВКА АС 8ММ</x:v>
      </x:c>
      <x:c r="D60" s="16" t="str">
        <x:v>Асбо-технические изделия</x:v>
      </x:c>
      <x:c r="E60" s="16" t="str">
        <x:v>КГ</x:v>
      </x:c>
      <x:c r="F60" s="29" t="n">
        <x:v>11.35</x:v>
      </x:c>
      <x:c r="G60" s="17" t="n">
        <x:v>498.8214</x:v>
      </x:c>
      <x:c r="H60" s="17" t="n">
        <x:f>G60*F60</x:f>
        <x:v>5661.62289</x:v>
      </x:c>
      <x:c r="I60" s="22" t="str">
        <x:f>HYPERLINK("https://etp-aktiv.ru/catalog/materialy/asbo-tekhnicheskie-izdeliya/2000031524-U112/","Открыть позицию")</x:f>
        <x:v>Открыть позицию</x:v>
      </x:c>
    </x:row>
    <x:row r="61" ht="28" customHeight="1">
      <x:c r="A61" s="16" t="str">
        <x:v>Беловская ГРЭС</x:v>
      </x:c>
      <x:c r="B61" s="16" t="str">
        <x:v>2000253238-U112</x:v>
      </x:c>
      <x:c r="C61" s="16" t="str">
        <x:v>НАБИВКА ГРАФЛЕКС Н-1200 12*12ММ</x:v>
      </x:c>
      <x:c r="D61" s="16" t="str">
        <x:v>Асбо-технические изделия</x:v>
      </x:c>
      <x:c r="E61" s="16" t="str">
        <x:v>КГ</x:v>
      </x:c>
      <x:c r="F61" s="29" t="n">
        <x:v>159.697</x:v>
      </x:c>
      <x:c r="G61" s="17" t="n">
        <x:v>961.7504</x:v>
      </x:c>
      <x:c r="H61" s="17" t="n">
        <x:f>G61*F61</x:f>
        <x:v>153588.6536288</x:v>
      </x:c>
      <x:c r="I61" s="22" t="str">
        <x:f>HYPERLINK("https://etp-aktiv.ru/catalog/materialy/asbo-tekhnicheskie-izdeliya/2000253238-U112/","Открыть позицию")</x:f>
        <x:v>Открыть позицию</x:v>
      </x:c>
    </x:row>
    <x:row r="62" ht="28" customHeight="1">
      <x:c r="A62" s="16" t="str">
        <x:v>Беловская ГРЭС</x:v>
      </x:c>
      <x:c r="B62" s="16" t="str">
        <x:v>2000157670-U112</x:v>
      </x:c>
      <x:c r="C62" s="16" t="str">
        <x:v>НАБИВКА ЛП-31 10*10ММ</x:v>
      </x:c>
      <x:c r="D62" s="16" t="str">
        <x:v>Асбо-технические изделия</x:v>
      </x:c>
      <x:c r="E62" s="16" t="str">
        <x:v>КГ</x:v>
      </x:c>
      <x:c r="F62" s="29" t="n">
        <x:v>7.2</x:v>
      </x:c>
      <x:c r="G62" s="17" t="n">
        <x:v>323.8978</x:v>
      </x:c>
      <x:c r="H62" s="17" t="n">
        <x:f>G62*F62</x:f>
        <x:v>2332.0641600000004</x:v>
      </x:c>
      <x:c r="I62" s="22" t="str">
        <x:f>HYPERLINK("https://etp-aktiv.ru/catalog/materialy/asbo-tekhnicheskie-izdeliya/2000157670-U112/","Открыть позицию")</x:f>
        <x:v>Открыть позицию</x:v>
      </x:c>
    </x:row>
    <x:row r="63" ht="28" customHeight="1">
      <x:c r="A63" s="16" t="str">
        <x:v>Беловская ГРЭС</x:v>
      </x:c>
      <x:c r="B63" s="16" t="str">
        <x:v>2000539173-U112</x:v>
      </x:c>
      <x:c r="C63" s="16" t="str">
        <x:v>НАБИВКА МНОГОСЛОЙНОЕ АП-31 22*22</x:v>
      </x:c>
      <x:c r="D63" s="16" t="str">
        <x:v>Асбо-технические изделия</x:v>
      </x:c>
      <x:c r="E63" s="16" t="str">
        <x:v>КГ</x:v>
      </x:c>
      <x:c r="F63" s="29" t="n">
        <x:v>101.8</x:v>
      </x:c>
      <x:c r="G63" s="17" t="n">
        <x:v>287.127</x:v>
      </x:c>
      <x:c r="H63" s="17" t="n">
        <x:f>G63*F63</x:f>
        <x:v>29229.5286</x:v>
      </x:c>
      <x:c r="I63" s="22" t="str">
        <x:f>HYPERLINK("https://etp-aktiv.ru/catalog/materialy/asbo-tekhnicheskie-izdeliya/2000539173-U112/","Открыть позицию")</x:f>
        <x:v>Открыть позицию</x:v>
      </x:c>
    </x:row>
    <x:row r="64" ht="28" customHeight="1">
      <x:c r="A64" s="16" t="str">
        <x:v>Беловская ГРЭС</x:v>
      </x:c>
      <x:c r="B64" s="16" t="str">
        <x:v>2000141008-U112</x:v>
      </x:c>
      <x:c r="C64" s="16" t="str">
        <x:v>НАБИВКА НГФ-М 8*8</x:v>
      </x:c>
      <x:c r="D64" s="16" t="str">
        <x:v>Асбо-технические изделия</x:v>
      </x:c>
      <x:c r="E64" s="16" t="str">
        <x:v>КГ</x:v>
      </x:c>
      <x:c r="F64" s="29" t="n">
        <x:v>17.5</x:v>
      </x:c>
      <x:c r="G64" s="17" t="n">
        <x:v>1189.5</x:v>
      </x:c>
      <x:c r="H64" s="17" t="n">
        <x:f>G64*F64</x:f>
        <x:v>20816.25</x:v>
      </x:c>
      <x:c r="I64" s="22" t="str">
        <x:f>HYPERLINK("https://etp-aktiv.ru/catalog/materialy/asbo-tekhnicheskie-izdeliya/2000141008-U112/","Открыть позицию")</x:f>
        <x:v>Открыть позицию</x:v>
      </x:c>
    </x:row>
    <x:row r="65" ht="28" customHeight="1">
      <x:c r="A65" s="16" t="str">
        <x:v>Беловская ГРЭС</x:v>
      </x:c>
      <x:c r="B65" s="16" t="str">
        <x:v>2000539176-U112</x:v>
      </x:c>
      <x:c r="C65" s="16" t="str">
        <x:v>НАБИВКА ОДНОСЛОЙНОЕ ПЛЕТЕНИЕ АП-31 12*12</x:v>
      </x:c>
      <x:c r="D65" s="16" t="str">
        <x:v>Асбо-технические изделия</x:v>
      </x:c>
      <x:c r="E65" s="16" t="str">
        <x:v>КГ</x:v>
      </x:c>
      <x:c r="F65" s="29" t="n">
        <x:v>74.1</x:v>
      </x:c>
      <x:c r="G65" s="17" t="n">
        <x:v>183.51239999999999</x:v>
      </x:c>
      <x:c r="H65" s="17" t="n">
        <x:f>G65*F65</x:f>
        <x:v>13598.268839999997</x:v>
      </x:c>
      <x:c r="I65" s="22" t="str">
        <x:f>HYPERLINK("https://etp-aktiv.ru/catalog/materialy/asbo-tekhnicheskie-izdeliya/2000539176-U112/","Открыть позицию")</x:f>
        <x:v>Открыть позицию</x:v>
      </x:c>
    </x:row>
    <x:row r="66" ht="28" customHeight="1">
      <x:c r="A66" s="16" t="str">
        <x:v>Беловская ГРЭС</x:v>
      </x:c>
      <x:c r="B66" s="16" t="str">
        <x:v>2000721678-U112</x:v>
      </x:c>
      <x:c r="C66" s="16" t="str">
        <x:v>НАБИВКА ТРГ-100ЛФ 6*6ММ</x:v>
      </x:c>
      <x:c r="D66" s="16" t="str">
        <x:v>Асбо-технические изделия</x:v>
      </x:c>
      <x:c r="E66" s="16" t="str">
        <x:v>КГ</x:v>
      </x:c>
      <x:c r="F66" s="29" t="n">
        <x:v>4.335</x:v>
      </x:c>
      <x:c r="G66" s="17" t="n">
        <x:v>1150.0086</x:v>
      </x:c>
      <x:c r="H66" s="17" t="n">
        <x:f>G66*F66</x:f>
        <x:v>4985.287281</x:v>
      </x:c>
      <x:c r="I66" s="22" t="str">
        <x:f>HYPERLINK("https://etp-aktiv.ru/catalog/materialy/asbo-tekhnicheskie-izdeliya/2000721678-U112/","Открыть позицию")</x:f>
        <x:v>Открыть позицию</x:v>
      </x:c>
    </x:row>
    <x:row r="67" ht="28" customHeight="1">
      <x:c r="A67" s="16" t="str">
        <x:v>Беловская ГРЭС</x:v>
      </x:c>
      <x:c r="B67" s="16" t="str">
        <x:v>2000721679-U112</x:v>
      </x:c>
      <x:c r="C67" s="16" t="str">
        <x:v>НАБИВКА ТРГ-100ЛФ 8*8ММ</x:v>
      </x:c>
      <x:c r="D67" s="16" t="str">
        <x:v>Асбо-технические изделия</x:v>
      </x:c>
      <x:c r="E67" s="16" t="str">
        <x:v>КГ</x:v>
      </x:c>
      <x:c r="F67" s="29" t="n">
        <x:v>9.995</x:v>
      </x:c>
      <x:c r="G67" s="17" t="n">
        <x:v>1190.6468</x:v>
      </x:c>
      <x:c r="H67" s="17" t="n">
        <x:f>G67*F67</x:f>
        <x:v>11900.514765999998</x:v>
      </x:c>
      <x:c r="I67" s="22" t="str">
        <x:f>HYPERLINK("https://etp-aktiv.ru/catalog/materialy/asbo-tekhnicheskie-izdeliya/2000721679-U112/","Открыть позицию")</x:f>
        <x:v>Открыть позицию</x:v>
      </x:c>
    </x:row>
    <x:row r="68" ht="28" customHeight="1">
      <x:c r="A68" s="16" t="str">
        <x:v>Беловская ГРЭС</x:v>
      </x:c>
      <x:c r="B68" s="16" t="str">
        <x:v>2000031485-U112</x:v>
      </x:c>
      <x:c r="C68" s="16" t="str">
        <x:v>НАБИВКА ХБП-31 10ММ</x:v>
      </x:c>
      <x:c r="D68" s="16" t="str">
        <x:v>Асбо-технические изделия</x:v>
      </x:c>
      <x:c r="E68" s="16" t="str">
        <x:v>КГ</x:v>
      </x:c>
      <x:c r="F68" s="21" t="n">
        <x:v>1</x:v>
      </x:c>
      <x:c r="G68" s="17" t="n">
        <x:v>290.8846</x:v>
      </x:c>
      <x:c r="H68" s="17" t="n">
        <x:f>G68*F68</x:f>
        <x:v>290.8846</x:v>
      </x:c>
      <x:c r="I68" s="22" t="str">
        <x:f>HYPERLINK("https://etp-aktiv.ru/catalog/materialy/asbo-tekhnicheskie-izdeliya/2000031485-U112/","Открыть позицию")</x:f>
        <x:v>Открыть позицию</x:v>
      </x:c>
    </x:row>
    <x:row r="69" ht="28" customHeight="1">
      <x:c r="A69" s="16" t="str">
        <x:v>Беловская ГРЭС</x:v>
      </x:c>
      <x:c r="B69" s="16" t="str">
        <x:v>2000031484-U112</x:v>
      </x:c>
      <x:c r="C69" s="16" t="str">
        <x:v>НАБИВКА ХБП-31 8ММ</x:v>
      </x:c>
      <x:c r="D69" s="16" t="str">
        <x:v>Асбо-технические изделия</x:v>
      </x:c>
      <x:c r="E69" s="16" t="str">
        <x:v>КГ</x:v>
      </x:c>
      <x:c r="F69" s="29" t="n">
        <x:v>44.64</x:v>
      </x:c>
      <x:c r="G69" s="17" t="n">
        <x:v>300.486</x:v>
      </x:c>
      <x:c r="H69" s="17" t="n">
        <x:f>G69*F69</x:f>
        <x:v>13413.69504</x:v>
      </x:c>
      <x:c r="I69" s="22" t="str">
        <x:f>HYPERLINK("https://etp-aktiv.ru/catalog/materialy/asbo-tekhnicheskie-izdeliya/2000031484-U112/","Открыть позицию")</x:f>
        <x:v>Открыть позицию</x:v>
      </x:c>
    </x:row>
    <x:row r="70" ht="28" customHeight="1">
      <x:c r="A70" s="16" t="str">
        <x:v>Беловская ГРЭС</x:v>
      </x:c>
      <x:c r="B70" s="16" t="str">
        <x:v>2000539281-U112</x:v>
      </x:c>
      <x:c r="C70" s="16" t="str">
        <x:v>ПАРОНИТ ПМБ 3*1500*1500</x:v>
      </x:c>
      <x:c r="D70" s="16" t="str">
        <x:v>Асбо-технические изделия</x:v>
      </x:c>
      <x:c r="E70" s="16" t="str">
        <x:v>КГ</x:v>
      </x:c>
      <x:c r="F70" s="29" t="n">
        <x:v>6.5</x:v>
      </x:c>
      <x:c r="G70" s="17" t="n">
        <x:v>105.98140000000001</x:v>
      </x:c>
      <x:c r="H70" s="17" t="n">
        <x:f>G70*F70</x:f>
        <x:v>688.8791000000001</x:v>
      </x:c>
      <x:c r="I70" s="22" t="str">
        <x:f>HYPERLINK("https://etp-aktiv.ru/catalog/materialy/asbo-tekhnicheskie-izdeliya/2000539281-U112/","Открыть позицию")</x:f>
        <x:v>Открыть позицию</x:v>
      </x:c>
    </x:row>
    <x:row r="71" ht="28" customHeight="1">
      <x:c r="A71" s="16" t="str">
        <x:v>Беловская ГРЭС</x:v>
      </x:c>
      <x:c r="B71" s="16" t="str">
        <x:v>2000033108-U112</x:v>
      </x:c>
      <x:c r="C71" s="16" t="str">
        <x:v>ПАРОНИТ ПОН-А 2ММ</x:v>
      </x:c>
      <x:c r="D71" s="16" t="str">
        <x:v>Асбо-технические изделия</x:v>
      </x:c>
      <x:c r="E71" s="16" t="str">
        <x:v>КГ</x:v>
      </x:c>
      <x:c r="F71" s="29" t="n">
        <x:v>2.7</x:v>
      </x:c>
      <x:c r="G71" s="17" t="n">
        <x:v>71.187</x:v>
      </x:c>
      <x:c r="H71" s="17" t="n">
        <x:f>G71*F71</x:f>
        <x:v>192.2049</x:v>
      </x:c>
      <x:c r="I71" s="22" t="str">
        <x:f>HYPERLINK("https://etp-aktiv.ru/catalog/materialy/asbo-tekhnicheskie-izdeliya/2000033108-U112/","Открыть позицию")</x:f>
        <x:v>Открыть позицию</x:v>
      </x:c>
    </x:row>
    <x:row r="72" ht="28" customHeight="1">
      <x:c r="A72" s="16" t="str">
        <x:v>Беловская ГРЭС</x:v>
      </x:c>
      <x:c r="B72" s="16" t="str">
        <x:v>2000248710-U112</x:v>
      </x:c>
      <x:c r="C72" s="16" t="str">
        <x:v>ПЛАСТИНА РЕЗ УМ 4*800*1000 ГОСТ12855-77</x:v>
      </x:c>
      <x:c r="D72" s="16" t="str">
        <x:v>Резино-технические изделия прочие</x:v>
      </x:c>
      <x:c r="E72" s="16" t="str">
        <x:v>КГ</x:v>
      </x:c>
      <x:c r="F72" s="30" t="n">
        <x:v>0.4</x:v>
      </x:c>
      <x:c r="G72" s="17" t="n">
        <x:v>246.4888</x:v>
      </x:c>
      <x:c r="H72" s="17" t="n">
        <x:f>G72*F72</x:f>
        <x:v>98.59552000000001</x:v>
      </x:c>
      <x:c r="I72" s="22" t="str">
        <x:f>HYPERLINK("https://etp-aktiv.ru/catalog/materialy/rezino-tekhnicheskie-izdeliya/2000248710-U112/","Открыть позицию")</x:f>
        <x:v>Открыть позицию</x:v>
      </x:c>
    </x:row>
    <x:row r="73" ht="28" customHeight="1">
      <x:c r="A73" s="16" t="str">
        <x:v>Беловская ГРЭС</x:v>
      </x:c>
      <x:c r="B73" s="16" t="str">
        <x:v>2000248640-U112</x:v>
      </x:c>
      <x:c r="C73" s="16" t="str">
        <x:v>ПЛАСТИНА РЕЗ УМ 8*800*1000 ГОСТ12855-77</x:v>
      </x:c>
      <x:c r="D73" s="16" t="str">
        <x:v>Резино-технические изделия прочие</x:v>
      </x:c>
      <x:c r="E73" s="16" t="str">
        <x:v>КГ</x:v>
      </x:c>
      <x:c r="F73" s="29" t="n">
        <x:v>11.4</x:v>
      </x:c>
      <x:c r="G73" s="17" t="n">
        <x:v>230.0066</x:v>
      </x:c>
      <x:c r="H73" s="17" t="n">
        <x:f>G73*F73</x:f>
        <x:v>2622.07524</x:v>
      </x:c>
      <x:c r="I73" s="22" t="str">
        <x:f>HYPERLINK("https://etp-aktiv.ru/catalog/materialy/rezino-tekhnicheskie-izdeliya/2000248640-U112/","Открыть позицию")</x:f>
        <x:v>Открыть позицию</x:v>
      </x:c>
    </x:row>
    <x:row r="74" ht="28" customHeight="1">
      <x:c r="A74" s="16" t="str">
        <x:v>Беловская ГРЭС</x:v>
      </x:c>
      <x:c r="B74" s="16" t="str">
        <x:v>2000570309-U112</x:v>
      </x:c>
      <x:c r="C74" s="16" t="str">
        <x:v>ПРОКЛ СНП ТМГД1-1-145*135*110*90*4,6-2,7</x:v>
      </x:c>
      <x:c r="D74" s="16" t="str">
        <x:v>Асбо-технические изделия</x:v>
      </x:c>
      <x:c r="E74" s="16" t="str">
        <x:v>ШТ</x:v>
      </x:c>
      <x:c r="F74" s="21" t="n">
        <x:v>6</x:v>
      </x:c>
      <x:c r="G74" s="17" t="n">
        <x:v>373.6006</x:v>
      </x:c>
      <x:c r="H74" s="17" t="n">
        <x:f>G74*F74</x:f>
        <x:v>2241.6036</x:v>
      </x:c>
      <x:c r="I74" s="22" t="str">
        <x:f>HYPERLINK("https://etp-aktiv.ru/catalog/materialy/asbo-tekhnicheskie-izdeliya/2000570309-U112/","Открыть позицию")</x:f>
        <x:v>Открыть позицию</x:v>
      </x:c>
    </x:row>
    <x:row r="75" ht="28" customHeight="1">
      <x:c r="A75" s="16" t="str">
        <x:v>Беловская ГРЭС</x:v>
      </x:c>
      <x:c r="B75" s="16" t="str">
        <x:v>2000611241-U112</x:v>
      </x:c>
      <x:c r="C75" s="16" t="str">
        <x:v>РЕЗИНА 31*55 7-6190П ТУ38.105.1868-88</x:v>
      </x:c>
      <x:c r="D75" s="16" t="str">
        <x:v>Резино-технические изделия прочие</x:v>
      </x:c>
      <x:c r="E75" s="16" t="str">
        <x:v>ПМ</x:v>
      </x:c>
      <x:c r="F75" s="21" t="n">
        <x:v>100</x:v>
      </x:c>
      <x:c r="G75" s="17" t="n">
        <x:v>944.2312000000001</x:v>
      </x:c>
      <x:c r="H75" s="17" t="n">
        <x:f>G75*F75</x:f>
        <x:v>94423.12000000001</x:v>
      </x:c>
      <x:c r="I75" s="22" t="str">
        <x:f>HYPERLINK("https://etp-aktiv.ru/catalog/materialy/rezino-tekhnicheskie-izdeliya/2000611241-U112/","Открыть позицию")</x:f>
        <x:v>Открыть позицию</x:v>
      </x:c>
    </x:row>
    <x:row r="76" ht="28" customHeight="1">
      <x:c r="A76" s="16" t="str">
        <x:v>Беловская ГРЭС</x:v>
      </x:c>
      <x:c r="B76" s="16" t="str">
        <x:v>2000561744-U112</x:v>
      </x:c>
      <x:c r="C76" s="16" t="str">
        <x:v>РЕМЕНЬ A 1320 ГОСТ1284.1-89</x:v>
      </x:c>
      <x:c r="D76" s="16" t="str">
        <x:v>Резино-технические изделия прочие</x:v>
      </x:c>
      <x:c r="E76" s="16" t="str">
        <x:v>ШТ</x:v>
      </x:c>
      <x:c r="F76" s="21" t="n">
        <x:v>1</x:v>
      </x:c>
      <x:c r="G76" s="17" t="n">
        <x:v>41.8704</x:v>
      </x:c>
      <x:c r="H76" s="17" t="n">
        <x:f>G76*F76</x:f>
        <x:v>41.8704</x:v>
      </x:c>
      <x:c r="I76" s="22" t="str">
        <x:f>HYPERLINK("https://etp-aktiv.ru/catalog/materialy/rezino-tekhnicheskie-izdeliya/2000561744-U112/","Открыть позицию")</x:f>
        <x:v>Открыть позицию</x:v>
      </x:c>
    </x:row>
    <x:row r="77" ht="28" customHeight="1">
      <x:c r="A77" s="16" t="str">
        <x:v>Беловская ГРЭС</x:v>
      </x:c>
      <x:c r="B77" s="16" t="str">
        <x:v>2000546658-U112</x:v>
      </x:c>
      <x:c r="C77" s="16" t="str">
        <x:v>РЕМЕНЬ B(Б) 2360</x:v>
      </x:c>
      <x:c r="D77" s="16" t="str">
        <x:v>Резино-технические изделия прочие</x:v>
      </x:c>
      <x:c r="E77" s="16" t="str">
        <x:v>ШТ</x:v>
      </x:c>
      <x:c r="F77" s="21" t="n">
        <x:v>10</x:v>
      </x:c>
      <x:c r="G77" s="17" t="n">
        <x:v>28.304</x:v>
      </x:c>
      <x:c r="H77" s="17" t="n">
        <x:f>G77*F77</x:f>
        <x:v>283.03999999999996</x:v>
      </x:c>
      <x:c r="I77" s="22" t="str">
        <x:f>HYPERLINK("https://etp-aktiv.ru/catalog/materialy/rezino-tekhnicheskie-izdeliya/2000546658-U112/","Открыть позицию")</x:f>
        <x:v>Открыть позицию</x:v>
      </x:c>
    </x:row>
    <x:row r="78" ht="28" customHeight="1">
      <x:c r="A78" s="16" t="str">
        <x:v>Беловская ГРЭС</x:v>
      </x:c>
      <x:c r="B78" s="16" t="str">
        <x:v>2000546660-U112</x:v>
      </x:c>
      <x:c r="C78" s="16" t="str">
        <x:v>РЕМЕНЬ B(Б) 2650</x:v>
      </x:c>
      <x:c r="D78" s="16" t="str">
        <x:v>Резино-технические изделия прочие</x:v>
      </x:c>
      <x:c r="E78" s="16" t="str">
        <x:v>ШТ</x:v>
      </x:c>
      <x:c r="F78" s="21" t="n">
        <x:v>15</x:v>
      </x:c>
      <x:c r="G78" s="17" t="n">
        <x:v>151.6704</x:v>
      </x:c>
      <x:c r="H78" s="17" t="n">
        <x:f>G78*F78</x:f>
        <x:v>2275.056</x:v>
      </x:c>
      <x:c r="I78" s="22" t="str">
        <x:f>HYPERLINK("https://etp-aktiv.ru/catalog/materialy/rezino-tekhnicheskie-izdeliya/2000546660-U112/","Открыть позицию")</x:f>
        <x:v>Открыть позицию</x:v>
      </x:c>
    </x:row>
    <x:row r="79" ht="28" customHeight="1">
      <x:c r="A79" s="16" t="str">
        <x:v>Беловская ГРЭС</x:v>
      </x:c>
      <x:c r="B79" s="16" t="str">
        <x:v>2000546675-U112</x:v>
      </x:c>
      <x:c r="C79" s="16" t="str">
        <x:v>РЕМЕНЬ D(Г) 7100</x:v>
      </x:c>
      <x:c r="D79" s="16" t="str">
        <x:v>Резино-технические изделия прочие</x:v>
      </x:c>
      <x:c r="E79" s="16" t="str">
        <x:v>ШТ</x:v>
      </x:c>
      <x:c r="F79" s="21" t="n">
        <x:v>19</x:v>
      </x:c>
      <x:c r="G79" s="17" t="n">
        <x:v>968.4237999999999</x:v>
      </x:c>
      <x:c r="H79" s="17" t="n">
        <x:f>G79*F79</x:f>
        <x:v>18400.0522</x:v>
      </x:c>
      <x:c r="I79" s="22" t="str">
        <x:f>HYPERLINK("https://etp-aktiv.ru/catalog/materialy/rezino-tekhnicheskie-izdeliya/2000546675-U112/","Открыть позицию")</x:f>
        <x:v>Открыть позицию</x:v>
      </x:c>
    </x:row>
    <x:row r="80" ht="28" customHeight="1">
      <x:c r="A80" s="16" t="str">
        <x:v>Беловская ГРЭС</x:v>
      </x:c>
      <x:c r="B80" s="16" t="str">
        <x:v>2000631451-U112</x:v>
      </x:c>
      <x:c r="C80" s="16" t="str">
        <x:v>РЕМЕНЬ КЛИНОВОЙ SPZ-1400 PIBELT</x:v>
      </x:c>
      <x:c r="D80" s="16" t="str">
        <x:v>Резино-технические изделия прочие</x:v>
      </x:c>
      <x:c r="E80" s="16" t="str">
        <x:v>ШТ</x:v>
      </x:c>
      <x:c r="F80" s="21" t="n">
        <x:v>2</x:v>
      </x:c>
      <x:c r="G80" s="17" t="n">
        <x:v>141.825</x:v>
      </x:c>
      <x:c r="H80" s="17" t="n">
        <x:f>G80*F80</x:f>
        <x:v>283.65</x:v>
      </x:c>
      <x:c r="I80" s="22" t="str">
        <x:f>HYPERLINK("https://etp-aktiv.ru/catalog/materialy/rezino-tekhnicheskie-izdeliya/2000631451-U112/","Открыть позицию")</x:f>
        <x:v>Открыть позицию</x:v>
      </x:c>
    </x:row>
    <x:row r="81" ht="28" customHeight="1">
      <x:c r="A81" s="16" t="str">
        <x:v>Беловская ГРЭС</x:v>
      </x:c>
      <x:c r="B81" s="16" t="str">
        <x:v>2000038243-U112</x:v>
      </x:c>
      <x:c r="C81" s="16" t="str">
        <x:v>РЕМЕНЬ КЛИНОВОЙ В(Б)-1060</x:v>
      </x:c>
      <x:c r="D81" s="16" t="str">
        <x:v>Резино-технические изделия прочие</x:v>
      </x:c>
      <x:c r="E81" s="16" t="str">
        <x:v>ШТ</x:v>
      </x:c>
      <x:c r="F81" s="21" t="n">
        <x:v>1</x:v>
      </x:c>
      <x:c r="G81" s="17" t="n">
        <x:v>56.803200000000004</x:v>
      </x:c>
      <x:c r="H81" s="17" t="n">
        <x:f>G81*F81</x:f>
        <x:v>56.803200000000004</x:v>
      </x:c>
      <x:c r="I81" s="22" t="str">
        <x:f>HYPERLINK("https://etp-aktiv.ru/catalog/materialy/rezino-tekhnicheskie-izdeliya/2000038243-U112/","Открыть позицию")</x:f>
        <x:v>Открыть позицию</x:v>
      </x:c>
    </x:row>
    <x:row r="82" ht="28" customHeight="1">
      <x:c r="A82" s="16" t="str">
        <x:v>Беловская ГРЭС</x:v>
      </x:c>
      <x:c r="B82" s="16" t="str">
        <x:v>2000003992-U112</x:v>
      </x:c>
      <x:c r="C82" s="16" t="str">
        <x:v>РЕМЕНЬ КЛИНОВОЙ С(В)-2000</x:v>
      </x:c>
      <x:c r="D82" s="16" t="str">
        <x:v>Резино-технические изделия прочие</x:v>
      </x:c>
      <x:c r="E82" s="16" t="str">
        <x:v>ШТ</x:v>
      </x:c>
      <x:c r="F82" s="21" t="n">
        <x:v>12</x:v>
      </x:c>
      <x:c r="G82" s="17" t="n">
        <x:v>154.3788</x:v>
      </x:c>
      <x:c r="H82" s="17" t="n">
        <x:f>G82*F82</x:f>
        <x:v>1852.5456000000001</x:v>
      </x:c>
      <x:c r="I82" s="22" t="str">
        <x:f>HYPERLINK("https://etp-aktiv.ru/catalog/materialy/rezino-tekhnicheskie-izdeliya/2000003992-U112/","Открыть позицию")</x:f>
        <x:v>Открыть позицию</x:v>
      </x:c>
    </x:row>
    <x:row r="83" ht="28" customHeight="1">
      <x:c r="A83" s="16" t="str">
        <x:v>Беловская ГРЭС</x:v>
      </x:c>
      <x:c r="B83" s="16" t="str">
        <x:v>2000547102-U112</x:v>
      </x:c>
      <x:c r="C83" s="16" t="str">
        <x:v>РУКАВ I-9-0,63 ГОСТ9356-75 ПРОПАН</x:v>
      </x:c>
      <x:c r="D83" s="16" t="str">
        <x:v>Резино-технические изделия прочие</x:v>
      </x:c>
      <x:c r="E83" s="16" t="str">
        <x:v>ПМ</x:v>
      </x:c>
      <x:c r="F83" s="21" t="n">
        <x:v>276</x:v>
      </x:c>
      <x:c r="G83" s="17" t="n">
        <x:v>36.4048</x:v>
      </x:c>
      <x:c r="H83" s="17" t="n">
        <x:f>G83*F83</x:f>
        <x:v>10047.7248</x:v>
      </x:c>
      <x:c r="I83" s="22" t="str">
        <x:f>HYPERLINK("https://etp-aktiv.ru/catalog/materialy/rezino-tekhnicheskie-izdeliya/2000547102-U112/","Открыть позицию")</x:f>
        <x:v>Открыть позицию</x:v>
      </x:c>
    </x:row>
    <x:row r="84" ht="28" customHeight="1">
      <x:c r="A84" s="16" t="str">
        <x:v>Беловская ГРЭС</x:v>
      </x:c>
      <x:c r="B84" s="16" t="str">
        <x:v>2000160912-U112</x:v>
      </x:c>
      <x:c r="C84" s="16" t="str">
        <x:v>ТЕХПЛАСТИНА 1*1000*1000 МБС-С ГОСТ7338</x:v>
      </x:c>
      <x:c r="D84" s="16" t="str">
        <x:v>Резино-технические изделия прочие</x:v>
      </x:c>
      <x:c r="E84" s="16" t="str">
        <x:v>КГ</x:v>
      </x:c>
      <x:c r="F84" s="29" t="n">
        <x:v>5.26</x:v>
      </x:c>
      <x:c r="G84" s="17" t="n">
        <x:v>175.375</x:v>
      </x:c>
      <x:c r="H84" s="17" t="n">
        <x:f>G84*F84</x:f>
        <x:v>922.4725</x:v>
      </x:c>
      <x:c r="I84" s="22" t="str">
        <x:f>HYPERLINK("https://etp-aktiv.ru/catalog/materialy/rezino-tekhnicheskie-izdeliya/2000160912-U112/","Открыть позицию")</x:f>
        <x:v>Открыть позицию</x:v>
      </x:c>
    </x:row>
    <x:row r="85" ht="28" customHeight="1">
      <x:c r="A85" s="16" t="str">
        <x:v>Беловская ГРЭС</x:v>
      </x:c>
      <x:c r="B85" s="16" t="str">
        <x:v>2000073729-U112</x:v>
      </x:c>
      <x:c r="C85" s="16" t="str">
        <x:v>ТЕХПЛАСТИНА 12*1000*1000 МБС-М ГОСТ7338</x:v>
      </x:c>
      <x:c r="D85" s="16" t="str">
        <x:v>Резино-технические изделия прочие</x:v>
      </x:c>
      <x:c r="E85" s="16" t="str">
        <x:v>КГ</x:v>
      </x:c>
      <x:c r="F85" s="29" t="n">
        <x:v>38.4</x:v>
      </x:c>
      <x:c r="G85" s="17" t="n">
        <x:v>245.403</x:v>
      </x:c>
      <x:c r="H85" s="17" t="n">
        <x:f>G85*F85</x:f>
        <x:v>9423.475199999999</x:v>
      </x:c>
      <x:c r="I85" s="22" t="str">
        <x:f>HYPERLINK("https://etp-aktiv.ru/catalog/materialy/rezino-tekhnicheskie-izdeliya/2000073729-U112/","Открыть позицию")</x:f>
        <x:v>Открыть позицию</x:v>
      </x:c>
    </x:row>
    <x:row r="86" ht="28" customHeight="1">
      <x:c r="A86" s="16" t="str">
        <x:v>Беловская ГРЭС</x:v>
      </x:c>
      <x:c r="B86" s="16" t="str">
        <x:v>2000002876-U112</x:v>
      </x:c>
      <x:c r="C86" s="16" t="str">
        <x:v>ТЕХПЛАСТИНА 2*500*500 МБС-С ГОСТ7338-90</x:v>
      </x:c>
      <x:c r="D86" s="16" t="str">
        <x:v>Резино-технические изделия прочие</x:v>
      </x:c>
      <x:c r="E86" s="16" t="str">
        <x:v>КГ</x:v>
      </x:c>
      <x:c r="F86" s="21" t="n">
        <x:v>4</x:v>
      </x:c>
      <x:c r="G86" s="17" t="n">
        <x:v>118.3888</x:v>
      </x:c>
      <x:c r="H86" s="17" t="n">
        <x:f>G86*F86</x:f>
        <x:v>473.5552</x:v>
      </x:c>
      <x:c r="I86" s="22" t="str">
        <x:f>HYPERLINK("https://etp-aktiv.ru/catalog/materialy/rezino-tekhnicheskie-izdeliya/2000002876-U112/","Открыть позицию")</x:f>
        <x:v>Открыть позицию</x:v>
      </x:c>
    </x:row>
    <x:row r="87" ht="28" customHeight="1">
      <x:c r="A87" s="16" t="str">
        <x:v>Беловская ГРЭС</x:v>
      </x:c>
      <x:c r="B87" s="16" t="str">
        <x:v>2000546980-U112</x:v>
      </x:c>
      <x:c r="C87" s="16" t="str">
        <x:v>ТЕХПЛАСТИНА 3 2Н-1 МБС-С ГОСТ7338-90</x:v>
      </x:c>
      <x:c r="D87" s="16" t="str">
        <x:v>Резино-технические изделия прочие</x:v>
      </x:c>
      <x:c r="E87" s="16" t="str">
        <x:v>КГ</x:v>
      </x:c>
      <x:c r="F87" s="30" t="n">
        <x:v>0.22</x:v>
      </x:c>
      <x:c r="G87" s="17" t="n">
        <x:v>122.4514</x:v>
      </x:c>
      <x:c r="H87" s="17" t="n">
        <x:f>G87*F87</x:f>
        <x:v>26.939308</x:v>
      </x:c>
      <x:c r="I87" s="22" t="str">
        <x:f>HYPERLINK("https://etp-aktiv.ru/catalog/materialy/rezino-tekhnicheskie-izdeliya/2000546980-U112/","Открыть позицию")</x:f>
        <x:v>Открыть позицию</x:v>
      </x:c>
    </x:row>
    <x:row r="88" ht="28" customHeight="1">
      <x:c r="A88" s="16" t="str">
        <x:v>Беловская ГРЭС</x:v>
      </x:c>
      <x:c r="B88" s="16" t="str">
        <x:v>2000003008-U112</x:v>
      </x:c>
      <x:c r="C88" s="16" t="str">
        <x:v>ТЕХПЛАСТИНА 3*500*500 МБС-С ГОСТ7338-90</x:v>
      </x:c>
      <x:c r="D88" s="16" t="str">
        <x:v>Резино-технические изделия прочие</x:v>
      </x:c>
      <x:c r="E88" s="16" t="str">
        <x:v>КГ</x:v>
      </x:c>
      <x:c r="F88" s="29" t="n">
        <x:v>27.9</x:v>
      </x:c>
      <x:c r="G88" s="17" t="n">
        <x:v>155.001</x:v>
      </x:c>
      <x:c r="H88" s="17" t="n">
        <x:f>G88*F88</x:f>
        <x:v>4324.5279</x:v>
      </x:c>
      <x:c r="I88" s="22" t="str">
        <x:f>HYPERLINK("https://etp-aktiv.ru/catalog/materialy/rezino-tekhnicheskie-izdeliya/2000003008-U112/","Открыть позицию")</x:f>
        <x:v>Открыть позицию</x:v>
      </x:c>
    </x:row>
    <x:row r="89" ht="28" customHeight="1">
      <x:c r="A89" s="16" t="str">
        <x:v>Беловская ГРЭС</x:v>
      </x:c>
      <x:c r="B89" s="16" t="str">
        <x:v>2000547054-U112</x:v>
      </x:c>
      <x:c r="C89" s="16" t="str">
        <x:v>ТЕХПЛАСТИНА 4 2Н-1МБС-С ГОСТ7338-90</x:v>
      </x:c>
      <x:c r="D89" s="16" t="str">
        <x:v>Резино-технические изделия прочие</x:v>
      </x:c>
      <x:c r="E89" s="16" t="str">
        <x:v>КГ</x:v>
      </x:c>
      <x:c r="F89" s="29" t="n">
        <x:v>2.2</x:v>
      </x:c>
      <x:c r="G89" s="17" t="n">
        <x:v>155.001</x:v>
      </x:c>
      <x:c r="H89" s="17" t="n">
        <x:f>G89*F89</x:f>
        <x:v>341.0022</x:v>
      </x:c>
      <x:c r="I89" s="22" t="str">
        <x:f>HYPERLINK("https://etp-aktiv.ru/catalog/materialy/rezino-tekhnicheskie-izdeliya/2000547054-U112/","Открыть позицию")</x:f>
        <x:v>Открыть позицию</x:v>
      </x:c>
    </x:row>
    <x:row r="90" ht="28" customHeight="1">
      <x:c r="A90" s="16" t="str">
        <x:v>Беловская ГРЭС</x:v>
      </x:c>
      <x:c r="B90" s="16" t="str">
        <x:v>2000147855-U112</x:v>
      </x:c>
      <x:c r="C90" s="16" t="str">
        <x:v>ТЕХПЛАСТИНА 4*1000*1000 ТМКЩ-С ГОСТ7338</x:v>
      </x:c>
      <x:c r="D90" s="16" t="str">
        <x:v>Резино-технические изделия прочие</x:v>
      </x:c>
      <x:c r="E90" s="16" t="str">
        <x:v>КГ</x:v>
      </x:c>
      <x:c r="F90" s="21" t="n">
        <x:v>16</x:v>
      </x:c>
      <x:c r="G90" s="17" t="n">
        <x:v>77.65299999999999</x:v>
      </x:c>
      <x:c r="H90" s="17" t="n">
        <x:f>G90*F90</x:f>
        <x:v>1242.4479999999999</x:v>
      </x:c>
      <x:c r="I90" s="22" t="str">
        <x:f>HYPERLINK("https://etp-aktiv.ru/catalog/materialy/rezino-tekhnicheskie-izdeliya/2000147855-U112/","Открыть позицию")</x:f>
        <x:v>Открыть позицию</x:v>
      </x:c>
    </x:row>
    <x:row r="91" ht="28" customHeight="1">
      <x:c r="A91" s="16" t="str">
        <x:v>Беловская ГРЭС</x:v>
      </x:c>
      <x:c r="B91" s="16" t="str">
        <x:v>2000185728-U112</x:v>
      </x:c>
      <x:c r="C91" s="16" t="str">
        <x:v>ТЕХПЛАСТИНА 4ММ ТМКЩ ГОСТ7338-90</x:v>
      </x:c>
      <x:c r="D91" s="16" t="str">
        <x:v>Резино-технические изделия прочие</x:v>
      </x:c>
      <x:c r="E91" s="16" t="str">
        <x:v>КГ</x:v>
      </x:c>
      <x:c r="F91" s="29" t="n">
        <x:v>29.28</x:v>
      </x:c>
      <x:c r="G91" s="17" t="n">
        <x:v>71.5896</x:v>
      </x:c>
      <x:c r="H91" s="17" t="n">
        <x:f>G91*F91</x:f>
        <x:v>2096.143488</x:v>
      </x:c>
      <x:c r="I91" s="22" t="str">
        <x:f>HYPERLINK("https://etp-aktiv.ru/catalog/materialy/rezino-tekhnicheskie-izdeliya/2000185728-U112/","Открыть позицию")</x:f>
        <x:v>Открыть позицию</x:v>
      </x:c>
    </x:row>
    <x:row r="92" ht="28" customHeight="1">
      <x:c r="A92" s="16" t="str">
        <x:v>Беловская ГРЭС</x:v>
      </x:c>
      <x:c r="B92" s="16" t="str">
        <x:v>2000546992-U112</x:v>
      </x:c>
      <x:c r="C92" s="16" t="str">
        <x:v>ТЕХПЛАСТИНА 5 2Н-I-ТМКЩ-С ГОСТ7338-90</x:v>
      </x:c>
      <x:c r="D92" s="16" t="str">
        <x:v>Резино-технические изделия прочие</x:v>
      </x:c>
      <x:c r="E92" s="16" t="str">
        <x:v>КГ</x:v>
      </x:c>
      <x:c r="F92" s="29" t="n">
        <x:v>19.2</x:v>
      </x:c>
      <x:c r="G92" s="17" t="n">
        <x:v>77.7384</x:v>
      </x:c>
      <x:c r="H92" s="17" t="n">
        <x:f>G92*F92</x:f>
        <x:v>1492.57728</x:v>
      </x:c>
      <x:c r="I92" s="22" t="str">
        <x:f>HYPERLINK("https://etp-aktiv.ru/catalog/materialy/rezino-tekhnicheskie-izdeliya/2000546992-U112/","Открыть позицию")</x:f>
        <x:v>Открыть позицию</x:v>
      </x:c>
    </x:row>
    <x:row r="93" ht="28" customHeight="1">
      <x:c r="A93" s="16" t="str">
        <x:v>Беловская ГРЭС</x:v>
      </x:c>
      <x:c r="B93" s="16" t="str">
        <x:v>2000546999-U112</x:v>
      </x:c>
      <x:c r="C93" s="16" t="str">
        <x:v>ТЕХПЛАСТИНА 5ММ I 51-2062 ТУ38-105116-81</x:v>
      </x:c>
      <x:c r="D93" s="16" t="str">
        <x:v>Резино-технические изделия прочие</x:v>
      </x:c>
      <x:c r="E93" s="16" t="str">
        <x:v>КГ</x:v>
      </x:c>
      <x:c r="F93" s="29" t="n">
        <x:v>35.65</x:v>
      </x:c>
      <x:c r="G93" s="17" t="n">
        <x:v>186.2086</x:v>
      </x:c>
      <x:c r="H93" s="17" t="n">
        <x:f>G93*F93</x:f>
        <x:v>6638.336589999999</x:v>
      </x:c>
      <x:c r="I93" s="22" t="str">
        <x:f>HYPERLINK("https://etp-aktiv.ru/catalog/materialy/rezino-tekhnicheskie-izdeliya/2000546999-U112/","Открыть позицию")</x:f>
        <x:v>Открыть позицию</x:v>
      </x:c>
    </x:row>
    <x:row r="94" ht="28" customHeight="1">
      <x:c r="A94" s="16" t="str">
        <x:v>Беловская ГРЭС</x:v>
      </x:c>
      <x:c r="B94" s="16" t="str">
        <x:v>2000141951-U112</x:v>
      </x:c>
      <x:c r="C94" s="16" t="str">
        <x:v>ТЕХПЛАСТИНА 5ММ ТКМЩ ГОСТ7338-90</x:v>
      </x:c>
      <x:c r="D94" s="16" t="str">
        <x:v>Резино-технические изделия прочие</x:v>
      </x:c>
      <x:c r="E94" s="16" t="str">
        <x:v>КГ</x:v>
      </x:c>
      <x:c r="F94" s="29" t="n">
        <x:v>1.23</x:v>
      </x:c>
      <x:c r="G94" s="17" t="n">
        <x:v>92.3784</x:v>
      </x:c>
      <x:c r="H94" s="17" t="n">
        <x:f>G94*F94</x:f>
        <x:v>113.625432</x:v>
      </x:c>
      <x:c r="I94" s="22" t="str">
        <x:f>HYPERLINK("https://etp-aktiv.ru/catalog/materialy/rezino-tekhnicheskie-izdeliya/2000141951-U112/","Открыть позицию")</x:f>
        <x:v>Открыть позицию</x:v>
      </x:c>
    </x:row>
    <x:row r="95" ht="28" customHeight="1">
      <x:c r="A95" s="16" t="str">
        <x:v>Беловская ГРЭС</x:v>
      </x:c>
      <x:c r="B95" s="16" t="str">
        <x:v>2000163458-U112</x:v>
      </x:c>
      <x:c r="C95" s="16" t="str">
        <x:v>ШНУР 2C D4ММ ГОСТ6467-79</x:v>
      </x:c>
      <x:c r="D95" s="16" t="str">
        <x:v>Резино-технические изделия прочие</x:v>
      </x:c>
      <x:c r="E95" s="16" t="str">
        <x:v>КГ</x:v>
      </x:c>
      <x:c r="F95" s="21" t="n">
        <x:v>1</x:v>
      </x:c>
      <x:c r="G95" s="17" t="n">
        <x:v>400.465</x:v>
      </x:c>
      <x:c r="H95" s="17" t="n">
        <x:f>G95*F95</x:f>
        <x:v>400.465</x:v>
      </x:c>
      <x:c r="I95" s="22" t="str">
        <x:f>HYPERLINK("https://etp-aktiv.ru/catalog/materialy/rezino-tekhnicheskie-izdeliya/2000163458-U112/","Открыть позицию")</x:f>
        <x:v>Открыть позицию</x:v>
      </x:c>
    </x:row>
    <x:row r="96" ht="28" customHeight="1">
      <x:c r="A96" s="16" t="str">
        <x:v>Беловская ГРЭС</x:v>
      </x:c>
      <x:c r="B96" s="16" t="str">
        <x:v>2000046190-U112</x:v>
      </x:c>
      <x:c r="C96" s="16" t="str">
        <x:v>ШНУР АСБЕСТ ШАОН 3ММ</x:v>
      </x:c>
      <x:c r="D96" s="16" t="str">
        <x:v>Асбо-технические изделия</x:v>
      </x:c>
      <x:c r="E96" s="16" t="str">
        <x:v>КГ</x:v>
      </x:c>
      <x:c r="F96" s="29" t="n">
        <x:v>209.9</x:v>
      </x:c>
      <x:c r="G96" s="17" t="n">
        <x:v>389.4728</x:v>
      </x:c>
      <x:c r="H96" s="17" t="n">
        <x:f>G96*F96</x:f>
        <x:v>81750.34072000001</x:v>
      </x:c>
      <x:c r="I96" s="22" t="str">
        <x:f>HYPERLINK("https://etp-aktiv.ru/catalog/materialy/asbo-tekhnicheskie-izdeliya/2000046190-U112/","Открыть позицию")</x:f>
        <x:v>Открыть позицию</x:v>
      </x:c>
    </x:row>
    <x:row r="97" ht="28" customHeight="1">
      <x:c r="A97" s="16" t="str">
        <x:v>Беловская ГРЭС</x:v>
      </x:c>
      <x:c r="B97" s="16" t="str">
        <x:v>2000301075-U112</x:v>
      </x:c>
      <x:c r="C97" s="16" t="str">
        <x:v>ШНУР ПРП-40.К-30.300 ГОСТ19177-81</x:v>
      </x:c>
      <x:c r="D97" s="16" t="str">
        <x:v>Резино-технические изделия прочие</x:v>
      </x:c>
      <x:c r="E97" s="16" t="str">
        <x:v>КГ</x:v>
      </x:c>
      <x:c r="F97" s="29" t="n">
        <x:v>317.2</x:v>
      </x:c>
      <x:c r="G97" s="17" t="n">
        <x:v>589.1014</x:v>
      </x:c>
      <x:c r="H97" s="17" t="n">
        <x:f>G97*F97</x:f>
        <x:v>186862.96408</x:v>
      </x:c>
      <x:c r="I97" s="22" t="str">
        <x:f>HYPERLINK("https://etp-aktiv.ru/catalog/materialy/rezino-tekhnicheskie-izdeliya/2000301075-U112/","Открыть позицию")</x:f>
        <x:v>Открыть позицию</x:v>
      </x:c>
    </x:row>
    <x:row r="98" ht="28" customHeight="1">
      <x:c r="A98" s="16" t="str">
        <x:v>Беловская ГРЭС</x:v>
      </x:c>
      <x:c r="B98" s="16" t="str">
        <x:v>2000546873-U112</x:v>
      </x:c>
      <x:c r="C98" s="16" t="str">
        <x:v>ШНУР РЕЗ 10 ТУ38.105.1165-90</x:v>
      </x:c>
      <x:c r="D98" s="16" t="str">
        <x:v>Резино-технические изделия прочие</x:v>
      </x:c>
      <x:c r="E98" s="16" t="str">
        <x:v>КГ</x:v>
      </x:c>
      <x:c r="F98" s="21" t="n">
        <x:v>10</x:v>
      </x:c>
      <x:c r="G98" s="17" t="n">
        <x:v>1293.078</x:v>
      </x:c>
      <x:c r="H98" s="17" t="n">
        <x:f>G98*F98</x:f>
        <x:v>12930.779999999999</x:v>
      </x:c>
      <x:c r="I98" s="22" t="str">
        <x:f>HYPERLINK("https://etp-aktiv.ru/catalog/materialy/rezino-tekhnicheskie-izdeliya/2000546873-U112/","Открыть позицию")</x:f>
        <x:v>Открыть позицию</x:v>
      </x:c>
    </x:row>
    <x:row r="99" ht="28" customHeight="1">
      <x:c r="A99" s="16" t="str">
        <x:v>Беловская ГРЭС</x:v>
      </x:c>
      <x:c r="B99" s="16" t="str">
        <x:v>2000594975-U112</x:v>
      </x:c>
      <x:c r="C99" s="16" t="str">
        <x:v>ШНУР РЕЗ. 1,2С 10*20 ГОСТ6467</x:v>
      </x:c>
      <x:c r="D99" s="16" t="str">
        <x:v>Резино-технические изделия прочие</x:v>
      </x:c>
      <x:c r="E99" s="16" t="str">
        <x:v>КГ</x:v>
      </x:c>
      <x:c r="F99" s="29" t="n">
        <x:v>75.6</x:v>
      </x:c>
      <x:c r="G99" s="17" t="n">
        <x:v>368.47659999999996</x:v>
      </x:c>
      <x:c r="H99" s="17" t="n">
        <x:f>G99*F99</x:f>
        <x:v>27856.830959999996</x:v>
      </x:c>
      <x:c r="I99" s="22" t="str">
        <x:f>HYPERLINK("https://etp-aktiv.ru/catalog/materialy/rezino-tekhnicheskie-izdeliya/2000594975-U112/","Открыть позицию")</x:f>
        <x:v>Открыть позицию</x:v>
      </x:c>
    </x:row>
    <x:row r="100" ht="28" customHeight="1">
      <x:c r="A100" s="16" t="str">
        <x:v>Беловская ГРЭС</x:v>
      </x:c>
      <x:c r="B100" s="16" t="str">
        <x:v>2000546793-U112</x:v>
      </x:c>
      <x:c r="C100" s="16" t="str">
        <x:v>ШНУР РЕЗИНОВЫЙ 1-4С 15*25 ГОСТ6467-79</x:v>
      </x:c>
      <x:c r="D100" s="16" t="str">
        <x:v>Резино-технические изделия прочие</x:v>
      </x:c>
      <x:c r="E100" s="16" t="str">
        <x:v>КГ</x:v>
      </x:c>
      <x:c r="F100" s="29" t="n">
        <x:v>6.05</x:v>
      </x:c>
      <x:c r="G100" s="17" t="n">
        <x:v>327.24060000000003</x:v>
      </x:c>
      <x:c r="H100" s="17" t="n">
        <x:f>G100*F100</x:f>
        <x:v>1979.80563</x:v>
      </x:c>
      <x:c r="I100" s="22" t="str">
        <x:f>HYPERLINK("https://etp-aktiv.ru/catalog/materialy/rezino-tekhnicheskie-izdeliya/2000546793-U112/","Открыть позицию")</x:f>
        <x:v>Открыть позицию</x:v>
      </x:c>
    </x:row>
    <x:row r="101" ht="28" customHeight="1">
      <x:c r="A101" s="16" t="str">
        <x:v>Беловская ГРЭС</x:v>
      </x:c>
      <x:c r="B101" s="16" t="str">
        <x:v>2000590456-U112</x:v>
      </x:c>
      <x:c r="C101" s="16" t="str">
        <x:v>ШНУР ШПРИЦ D10ММ 5Р-129 ТУ38.105.1165</x:v>
      </x:c>
      <x:c r="D101" s="16" t="str">
        <x:v>Резино-технические изделия прочие</x:v>
      </x:c>
      <x:c r="E101" s="16" t="str">
        <x:v>КГ</x:v>
      </x:c>
      <x:c r="F101" s="30" t="n">
        <x:v>0.45</x:v>
      </x:c>
      <x:c r="G101" s="17" t="n">
        <x:v>2026.359</x:v>
      </x:c>
      <x:c r="H101" s="17" t="n">
        <x:f>G101*F101</x:f>
        <x:v>911.86155</x:v>
      </x:c>
      <x:c r="I101" s="22" t="str">
        <x:f>HYPERLINK("https://etp-aktiv.ru/catalog/materialy/rezino-tekhnicheskie-izdeliya/2000590456-U112/","Открыть позицию")</x:f>
        <x:v>Открыть позицию</x:v>
      </x:c>
    </x:row>
    <x:row r="102" ht="28" customHeight="1">
      <x:c r="A102" s="16" t="str">
        <x:v>Кемеровская ГРЭС</x:v>
      </x:c>
      <x:c r="B102" s="16" t="str">
        <x:v>2000546536-U311</x:v>
      </x:c>
      <x:c r="C102" s="16" t="str">
        <x:v>КОЛЬЦО 040-048-46 2-3</x:v>
      </x:c>
      <x:c r="D102" s="16" t="str">
        <x:v>Резино-технические изделия прочие</x:v>
      </x:c>
      <x:c r="E102" s="16" t="str">
        <x:v>ШТ</x:v>
      </x:c>
      <x:c r="F102" s="21" t="n">
        <x:v>7</x:v>
      </x:c>
      <x:c r="G102" s="17" t="n">
        <x:v>2.2082</x:v>
      </x:c>
      <x:c r="H102" s="17" t="n">
        <x:f>G102*F102</x:f>
        <x:v>15.457400000000002</x:v>
      </x:c>
      <x:c r="I102" s="22" t="str">
        <x:f>HYPERLINK("https://etp-aktiv.ru/catalog/materialy/rezino-tekhnicheskie-izdeliya/2000546536-U311/","Открыть позицию")</x:f>
        <x:v>Открыть позицию</x:v>
      </x:c>
    </x:row>
    <x:row r="103" ht="28" customHeight="1">
      <x:c r="A103" s="16" t="str">
        <x:v>Кемеровская ГРЭС</x:v>
      </x:c>
      <x:c r="B103" s="16" t="str">
        <x:v>2000561731-U311</x:v>
      </x:c>
      <x:c r="C103" s="16" t="str">
        <x:v>КОЛЬЦО 060-070-58 2-3 ГОСТ18829-73</x:v>
      </x:c>
      <x:c r="D103" s="16" t="str">
        <x:v>Резино-технические изделия прочие</x:v>
      </x:c>
      <x:c r="E103" s="16" t="str">
        <x:v>ШТ</x:v>
      </x:c>
      <x:c r="F103" s="21" t="n">
        <x:v>4</x:v>
      </x:c>
      <x:c r="G103" s="17" t="n">
        <x:v>0.976</x:v>
      </x:c>
      <x:c r="H103" s="17" t="n">
        <x:f>G103*F103</x:f>
        <x:v>3.904</x:v>
      </x:c>
      <x:c r="I103" s="22" t="str">
        <x:f>HYPERLINK("https://etp-aktiv.ru/catalog/materialy/rezino-tekhnicheskie-izdeliya/2000561731-U311/","Открыть позицию")</x:f>
        <x:v>Открыть позицию</x:v>
      </x:c>
    </x:row>
    <x:row r="104" ht="28" customHeight="1">
      <x:c r="A104" s="16" t="str">
        <x:v>Кемеровская ГРЭС</x:v>
      </x:c>
      <x:c r="B104" s="16" t="str">
        <x:v>2000001667-U311</x:v>
      </x:c>
      <x:c r="C104" s="16" t="str">
        <x:v>МАНЖЕТА 1,2-75*100-1 ГОСТ8752-79</x:v>
      </x:c>
      <x:c r="D104" s="16" t="str">
        <x:v>Проч резино-тех изд</x:v>
      </x:c>
      <x:c r="E104" s="16" t="str">
        <x:v>ШТ</x:v>
      </x:c>
      <x:c r="F104" s="21" t="n">
        <x:v>10</x:v>
      </x:c>
      <x:c r="G104" s="17" t="n">
        <x:v>5.2826</x:v>
      </x:c>
      <x:c r="H104" s="17" t="n">
        <x:f>G104*F104</x:f>
        <x:v>52.82600000000001</x:v>
      </x:c>
      <x:c r="I104" s="22" t="str">
        <x:f>HYPERLINK("https://etp-aktiv.ru/catalog/materialy/rezino-tekhnicheskie-izdeliya/2000001667-U311/","Открыть позицию")</x:f>
        <x:v>Открыть позицию</x:v>
      </x:c>
    </x:row>
    <x:row r="105" ht="28" customHeight="1">
      <x:c r="A105" s="16" t="str">
        <x:v>Кемеровская ГРЭС</x:v>
      </x:c>
      <x:c r="B105" s="16" t="str">
        <x:v>2000001657-U311</x:v>
      </x:c>
      <x:c r="C105" s="16" t="str">
        <x:v>МАНЖЕТА 1,2-75*100-2 ГОСТ8752-79</x:v>
      </x:c>
      <x:c r="D105" s="16" t="str">
        <x:v>Проч резино-тех изд</x:v>
      </x:c>
      <x:c r="E105" s="16" t="str">
        <x:v>ШТ</x:v>
      </x:c>
      <x:c r="F105" s="21" t="n">
        <x:v>10</x:v>
      </x:c>
      <x:c r="G105" s="17" t="n">
        <x:v>5.795</x:v>
      </x:c>
      <x:c r="H105" s="17" t="n">
        <x:f>G105*F105</x:f>
        <x:v>57.95</x:v>
      </x:c>
      <x:c r="I105" s="22" t="str">
        <x:f>HYPERLINK("https://etp-aktiv.ru/catalog/materialy/rezino-tekhnicheskie-izdeliya/2000001657-U311/","Открыть позицию")</x:f>
        <x:v>Открыть позицию</x:v>
      </x:c>
    </x:row>
    <x:row r="106" ht="28" customHeight="1">
      <x:c r="A106" s="16" t="str">
        <x:v>Кемеровская ГРЭС</x:v>
      </x:c>
      <x:c r="B106" s="16" t="str">
        <x:v>2000548582-U311</x:v>
      </x:c>
      <x:c r="C106" s="16" t="str">
        <x:v>ПЛЕНКОСИНТОКАРТОН ПСК-ЛП-125 0,27ММ</x:v>
      </x:c>
      <x:c r="D106" s="16" t="str">
        <x:v>Э/изоляцион мат-лы</x:v>
      </x:c>
      <x:c r="E106" s="16" t="str">
        <x:v>КГ</x:v>
      </x:c>
      <x:c r="F106" s="29" t="n">
        <x:v>7.7</x:v>
      </x:c>
      <x:c r="G106" s="17" t="n">
        <x:v>40.894400000000005</x:v>
      </x:c>
      <x:c r="H106" s="17" t="n">
        <x:f>G106*F106</x:f>
        <x:v>314.88688</x:v>
      </x:c>
      <x:c r="I106" s="22" t="str">
        <x:f>HYPERLINK("https://etp-aktiv.ru/catalog/materialy/ehlektroizolyacionnye-materialy/2000548582-U311/","Открыть позицию")</x:f>
        <x:v>Открыть позицию</x:v>
      </x:c>
    </x:row>
    <x:row r="107" ht="28" customHeight="1">
      <x:c r="A107" s="16" t="str">
        <x:v>Кемеровская ГРЭС</x:v>
      </x:c>
      <x:c r="B107" s="16" t="str">
        <x:v>2000248808-U311</x:v>
      </x:c>
      <x:c r="C107" s="16" t="str">
        <x:v>ПОЛУЦИЛИНДР ИКИ D273*750*100</x:v>
      </x:c>
      <x:c r="D107" s="16" t="str">
        <x:v>Теплоизоляция</x:v>
      </x:c>
      <x:c r="E107" s="16" t="str">
        <x:v>М3</x:v>
      </x:c>
      <x:c r="F107" s="29" t="n">
        <x:v>82.3</x:v>
      </x:c>
      <x:c r="G107" s="17" t="n">
        <x:v>59337.7866</x:v>
      </x:c>
      <x:c r="H107" s="17" t="n">
        <x:f>G107*F107</x:f>
        <x:v>4883499.83718</x:v>
      </x:c>
      <x:c r="I107" s="22" t="str">
        <x:f>HYPERLINK("https://etp-aktiv.ru/catalog/materialy/teploizolyaciya/2000248808-U311/","Открыть позицию")</x:f>
        <x:v>Открыть позицию</x:v>
      </x:c>
    </x:row>
    <x:row r="108" ht="28" customHeight="1">
      <x:c r="A108" s="16" t="str">
        <x:v>Кемеровская ГРЭС</x:v>
      </x:c>
      <x:c r="B108" s="16" t="str">
        <x:v>2000548586-U311</x:v>
      </x:c>
      <x:c r="C108" s="16" t="str">
        <x:v>СИНТОФЛЕКС(ПЛЕН/СИНТ/КАРТ) 515П 0,25*900</x:v>
      </x:c>
      <x:c r="D108" s="16" t="str">
        <x:v>Э/изоляцион мат-лы</x:v>
      </x:c>
      <x:c r="E108" s="16" t="str">
        <x:v>ПМ</x:v>
      </x:c>
      <x:c r="F108" s="29" t="n">
        <x:v>42.5</x:v>
      </x:c>
      <x:c r="G108" s="17" t="n">
        <x:v>66.5632</x:v>
      </x:c>
      <x:c r="H108" s="17" t="n">
        <x:f>G108*F108</x:f>
        <x:v>2828.9359999999997</x:v>
      </x:c>
      <x:c r="I108" s="22" t="str">
        <x:f>HYPERLINK("https://etp-aktiv.ru/catalog/materialy/ehlektroizolyacionnye-materialy/2000548586-U311/","Открыть позицию")</x:f>
        <x:v>Открыть позицию</x:v>
      </x:c>
    </x:row>
    <x:row r="109" ht="28" customHeight="1">
      <x:c r="A109" s="16" t="str">
        <x:v>Кемеровская ГРЭС</x:v>
      </x:c>
      <x:c r="B109" s="16" t="str">
        <x:v>2000904652-U311</x:v>
      </x:c>
      <x:c r="C109" s="16" t="str">
        <x:v>СМЕСЬ СУХАЯ ССВБ-500 ТУ5767-004-21628872</x:v>
      </x:c>
      <x:c r="D109" s="16" t="str">
        <x:v>Огнеупорные материалы</x:v>
      </x:c>
      <x:c r="E109" s="16" t="str">
        <x:v>Т</x:v>
      </x:c>
      <x:c r="F109" s="29" t="n">
        <x:v>22.511</x:v>
      </x:c>
      <x:c r="G109" s="17" t="n">
        <x:v>95770</x:v>
      </x:c>
      <x:c r="H109" s="17" t="n">
        <x:f>G109*F109</x:f>
        <x:v>2155878.4699999997</x:v>
      </x:c>
      <x:c r="I109" s="22" t="str">
        <x:f>HYPERLINK("https://etp-aktiv.ru/catalog/materialy/ogneupornye-materialy/2000904652-U311/","Открыть позицию")</x:f>
        <x:v>Открыть позицию</x:v>
      </x:c>
    </x:row>
    <x:row r="110" ht="28" customHeight="1">
      <x:c r="A110" s="16" t="str">
        <x:v>Кемеровская ГРЭС</x:v>
      </x:c>
      <x:c r="B110" s="16" t="str">
        <x:v>2000549074-U311</x:v>
      </x:c>
      <x:c r="C110" s="16" t="str">
        <x:v>СТЕКЛОПЛАСТИК РСТ 250 Л</x:v>
      </x:c>
      <x:c r="D110" s="16" t="str">
        <x:v>Теплоизоляция</x:v>
      </x:c>
      <x:c r="E110" s="16" t="str">
        <x:v>М2</x:v>
      </x:c>
      <x:c r="F110" s="21" t="n">
        <x:v>100</x:v>
      </x:c>
      <x:c r="G110" s="17" t="n">
        <x:v>9.7478</x:v>
      </x:c>
      <x:c r="H110" s="17" t="n">
        <x:f>G110*F110</x:f>
        <x:v>974.78</x:v>
      </x:c>
      <x:c r="I110" s="22" t="str">
        <x:f>HYPERLINK("https://etp-aktiv.ru/catalog/materialy/teploizolyaciya/2000549074-U311/","Открыть позицию")</x:f>
        <x:v>Открыть позицию</x:v>
      </x:c>
    </x:row>
    <x:row r="111" ht="28" customHeight="1">
      <x:c r="A111" s="16" t="str">
        <x:v>Кемеровская ГРЭС</x:v>
      </x:c>
      <x:c r="B111" s="16" t="str">
        <x:v>2000489389-U311</x:v>
      </x:c>
      <x:c r="C111" s="16" t="str">
        <x:v>ТЕКСТОЛИТ ПТК 1ММ</x:v>
      </x:c>
      <x:c r="D111" s="16" t="str">
        <x:v>Э/изоляцион мат-лы</x:v>
      </x:c>
      <x:c r="E111" s="16" t="str">
        <x:v>КГ</x:v>
      </x:c>
      <x:c r="F111" s="21" t="n">
        <x:v>7</x:v>
      </x:c>
      <x:c r="G111" s="17" t="n">
        <x:v>66.0752</x:v>
      </x:c>
      <x:c r="H111" s="17" t="n">
        <x:f>G111*F111</x:f>
        <x:v>462.52639999999997</x:v>
      </x:c>
      <x:c r="I111" s="22" t="str">
        <x:f>HYPERLINK("https://etp-aktiv.ru/catalog/materialy/ehlektroizolyacionnye-materialy/2000489389-U311/","Открыть позицию")</x:f>
        <x:v>Открыть позицию</x:v>
      </x:c>
    </x:row>
    <x:row r="112" ht="28" customHeight="1">
      <x:c r="A112" s="16" t="str">
        <x:v>Кемеровская ГРЭС</x:v>
      </x:c>
      <x:c r="B112" s="16" t="str">
        <x:v>2000189678-U311</x:v>
      </x:c>
      <x:c r="C112" s="16" t="str">
        <x:v>ШНУР 1,2С D25ММ ГОСТ6467-79</x:v>
      </x:c>
      <x:c r="D112" s="16" t="str">
        <x:v>Резино-технические изделия прочие</x:v>
      </x:c>
      <x:c r="E112" s="16" t="str">
        <x:v>КГ</x:v>
      </x:c>
      <x:c r="F112" s="29" t="n">
        <x:v>4.12</x:v>
      </x:c>
      <x:c r="G112" s="17" t="n">
        <x:v>142.3984</x:v>
      </x:c>
      <x:c r="H112" s="17" t="n">
        <x:f>G112*F112</x:f>
        <x:v>586.681408</x:v>
      </x:c>
      <x:c r="I112" s="22" t="str">
        <x:f>HYPERLINK("https://etp-aktiv.ru/catalog/materialy/rezino-tekhnicheskie-izdeliya/2000189678-U311/","Открыть позицию")</x:f>
        <x:v>Открыть позицию</x:v>
      </x:c>
    </x:row>
    <x:row r="113" ht="28" customHeight="1">
      <x:c r="A113" s="16" t="str">
        <x:v>Кемеровская ГРЭС</x:v>
      </x:c>
      <x:c r="B113" s="16" t="str">
        <x:v>2000549121-U311</x:v>
      </x:c>
      <x:c r="C113" s="16" t="str">
        <x:v>ШНУР 40ММ ШБЭ 150</x:v>
      </x:c>
      <x:c r="D113" s="16" t="str">
        <x:v>Теплоизоляция</x:v>
      </x:c>
      <x:c r="E113" s="16" t="str">
        <x:v>М3</x:v>
      </x:c>
      <x:c r="F113" s="29" t="n">
        <x:v>1.4</x:v>
      </x:c>
      <x:c r="G113" s="17" t="n">
        <x:v>2422.6515999999997</x:v>
      </x:c>
      <x:c r="H113" s="17" t="n">
        <x:f>G113*F113</x:f>
        <x:v>3391.7122399999994</x:v>
      </x:c>
      <x:c r="I113" s="22" t="str">
        <x:f>HYPERLINK("https://etp-aktiv.ru/catalog/materialy/teploizolyaciya/2000549121-U311/","Открыть позицию")</x:f>
        <x:v>Открыть позицию</x:v>
      </x:c>
    </x:row>
    <x:row r="114" ht="28" customHeight="1">
      <x:c r="A114" s="16" t="str">
        <x:v>Кемеровская ТЭЦ</x:v>
      </x:c>
      <x:c r="B114" s="16" t="str">
        <x:v>2000141037-U312</x:v>
      </x:c>
      <x:c r="C114" s="16" t="str">
        <x:v>АСБОКАРТОН КАОН 8ММ</x:v>
      </x:c>
      <x:c r="D114" s="16" t="str">
        <x:v>Асбо-технические изделия</x:v>
      </x:c>
      <x:c r="E114" s="16" t="str">
        <x:v>КГ</x:v>
      </x:c>
      <x:c r="F114" s="29" t="n">
        <x:v>5.5</x:v>
      </x:c>
      <x:c r="G114" s="17" t="n">
        <x:v>67.0756</x:v>
      </x:c>
      <x:c r="H114" s="17" t="n">
        <x:f>G114*F114</x:f>
        <x:v>368.9158</x:v>
      </x:c>
      <x:c r="I114" s="22" t="str">
        <x:f>HYPERLINK("https://etp-aktiv.ru/catalog/materialy/asbo-tekhnicheskie-izdeliya/2000141037-U312/","Открыть позицию")</x:f>
        <x:v>Открыть позицию</x:v>
      </x:c>
    </x:row>
    <x:row r="115" ht="28" customHeight="1">
      <x:c r="A115" s="16" t="str">
        <x:v>Кемеровская ТЭЦ</x:v>
      </x:c>
      <x:c r="B115" s="16" t="str">
        <x:v>2000025829-U312</x:v>
      </x:c>
      <x:c r="C115" s="16" t="str">
        <x:v>КЛЕЙ 88 Н ГОСТ1061-76</x:v>
      </x:c>
      <x:c r="D115" s="16" t="str">
        <x:v>Резино-технические изделия прочие</x:v>
      </x:c>
      <x:c r="E115" s="16" t="str">
        <x:v>КГ</x:v>
      </x:c>
      <x:c r="F115" s="29" t="n">
        <x:v>1.3</x:v>
      </x:c>
      <x:c r="G115" s="17" t="n">
        <x:v>1121.6314</x:v>
      </x:c>
      <x:c r="H115" s="17" t="n">
        <x:f>G115*F115</x:f>
        <x:v>1458.12082</x:v>
      </x:c>
      <x:c r="I115" s="22" t="str">
        <x:f>HYPERLINK("https://etp-aktiv.ru/catalog/materialy/rezino-tekhnicheskie-izdeliya/2000025829-U312/","Открыть позицию")</x:f>
        <x:v>Открыть позицию</x:v>
      </x:c>
    </x:row>
    <x:row r="116" ht="28" customHeight="1">
      <x:c r="A116" s="16" t="str">
        <x:v>Кемеровская ТЭЦ</x:v>
      </x:c>
      <x:c r="B116" s="16" t="str">
        <x:v>2000539014-U312</x:v>
      </x:c>
      <x:c r="C116" s="16" t="str">
        <x:v>КОЛЬЦО КГФ-Г 52*36*8</x:v>
      </x:c>
      <x:c r="D116" s="16" t="str">
        <x:v>Асбо-технические изделия</x:v>
      </x:c>
      <x:c r="E116" s="16" t="str">
        <x:v>ШТ</x:v>
      </x:c>
      <x:c r="F116" s="21" t="n">
        <x:v>2</x:v>
      </x:c>
      <x:c r="G116" s="17" t="n">
        <x:v>25.5468</x:v>
      </x:c>
      <x:c r="H116" s="17" t="n">
        <x:f>G116*F116</x:f>
        <x:v>51.0936</x:v>
      </x:c>
      <x:c r="I116" s="22" t="str">
        <x:f>HYPERLINK("https://etp-aktiv.ru/catalog/materialy/asbo-tekhnicheskie-izdeliya/2000539014-U312/","Открыть позицию")</x:f>
        <x:v>Открыть позицию</x:v>
      </x:c>
    </x:row>
    <x:row r="117" ht="28" customHeight="1">
      <x:c r="A117" s="16" t="str">
        <x:v>Кемеровская ТЭЦ</x:v>
      </x:c>
      <x:c r="B117" s="16" t="str">
        <x:v>2000287792-U312</x:v>
      </x:c>
      <x:c r="C117" s="16" t="str">
        <x:v>ЛЕНТА ТОРМОЗНАЯ ЭМ-1 10*140ММ</x:v>
      </x:c>
      <x:c r="D117" s="16" t="str">
        <x:v>Асбо-технические изделия</x:v>
      </x:c>
      <x:c r="E117" s="16" t="str">
        <x:v>М2</x:v>
      </x:c>
      <x:c r="F117" s="30" t="n">
        <x:v>0.4</x:v>
      </x:c>
      <x:c r="G117" s="17" t="n">
        <x:v>7741.9126</x:v>
      </x:c>
      <x:c r="H117" s="17" t="n">
        <x:f>G117*F117</x:f>
        <x:v>3096.76504</x:v>
      </x:c>
      <x:c r="I117" s="22" t="str">
        <x:f>HYPERLINK("https://etp-aktiv.ru/catalog/materialy/asbo-tekhnicheskie-izdeliya/2000287792-U312/","Открыть позицию")</x:f>
        <x:v>Открыть позицию</x:v>
      </x:c>
    </x:row>
    <x:row r="118" ht="28" customHeight="1">
      <x:c r="A118" s="16" t="str">
        <x:v>Кемеровская ТЭЦ</x:v>
      </x:c>
      <x:c r="B118" s="16" t="str">
        <x:v>2000814694-U312</x:v>
      </x:c>
      <x:c r="C118" s="16" t="str">
        <x:v>ЛЕНТА ТОРМОЗНАЯ ЭМ-К 10*160</x:v>
      </x:c>
      <x:c r="D118" s="16" t="str">
        <x:v>Асбо-технические изделия</x:v>
      </x:c>
      <x:c r="E118" s="16" t="str">
        <x:v>М2</x:v>
      </x:c>
      <x:c r="F118" s="30" t="n">
        <x:v>0.6</x:v>
      </x:c>
      <x:c r="G118" s="17" t="n">
        <x:v>8081.646</x:v>
      </x:c>
      <x:c r="H118" s="17" t="n">
        <x:f>G118*F118</x:f>
        <x:v>4848.9875999999995</x:v>
      </x:c>
      <x:c r="I118" s="22" t="str">
        <x:f>HYPERLINK("https://etp-aktiv.ru/catalog/materialy/asbo-tekhnicheskie-izdeliya/2000814694-U312/","Открыть позицию")</x:f>
        <x:v>Открыть позицию</x:v>
      </x:c>
    </x:row>
    <x:row r="119" ht="28" customHeight="1">
      <x:c r="A119" s="16" t="str">
        <x:v>Кемеровская ТЭЦ</x:v>
      </x:c>
      <x:c r="B119" s="16" t="str">
        <x:v>2000546720-U312</x:v>
      </x:c>
      <x:c r="C119" s="16" t="str">
        <x:v>МАНЖЕТА 1 050-3 ГОСТ6678-72</x:v>
      </x:c>
      <x:c r="D119" s="16" t="str">
        <x:v>Резино-технические изделия прочие</x:v>
      </x:c>
      <x:c r="E119" s="16" t="str">
        <x:v>ШТ</x:v>
      </x:c>
      <x:c r="F119" s="21" t="n">
        <x:v>6</x:v>
      </x:c>
      <x:c r="G119" s="17" t="n">
        <x:v>20.7156</x:v>
      </x:c>
      <x:c r="H119" s="17" t="n">
        <x:f>G119*F119</x:f>
        <x:v>124.2936</x:v>
      </x:c>
      <x:c r="I119" s="22" t="str">
        <x:f>HYPERLINK("https://etp-aktiv.ru/catalog/materialy/rezino-tekhnicheskie-izdeliya/2000546720-U312/","Открыть позицию")</x:f>
        <x:v>Открыть позицию</x:v>
      </x:c>
    </x:row>
    <x:row r="120" ht="28" customHeight="1">
      <x:c r="A120" s="16" t="str">
        <x:v>Кемеровская ТЭЦ</x:v>
      </x:c>
      <x:c r="B120" s="16" t="str">
        <x:v>2000546822-U312</x:v>
      </x:c>
      <x:c r="C120" s="16" t="str">
        <x:v>МАНЖЕТА 1,2-105*138-3 ГОСТ8752-79</x:v>
      </x:c>
      <x:c r="D120" s="16" t="str">
        <x:v>Резино-технические изделия прочие</x:v>
      </x:c>
      <x:c r="E120" s="16" t="str">
        <x:v>ШТ</x:v>
      </x:c>
      <x:c r="F120" s="21" t="n">
        <x:v>2</x:v>
      </x:c>
      <x:c r="G120" s="17" t="n">
        <x:v>279.99</x:v>
      </x:c>
      <x:c r="H120" s="17" t="n">
        <x:f>G120*F120</x:f>
        <x:v>559.98</x:v>
      </x:c>
      <x:c r="I120" s="22" t="str">
        <x:f>HYPERLINK("https://etp-aktiv.ru/catalog/materialy/rezino-tekhnicheskie-izdeliya/2000546822-U312/","Открыть позицию")</x:f>
        <x:v>Открыть позицию</x:v>
      </x:c>
    </x:row>
    <x:row r="121" ht="28" customHeight="1">
      <x:c r="A121" s="16" t="str">
        <x:v>Кемеровская ТЭЦ</x:v>
      </x:c>
      <x:c r="B121" s="16" t="str">
        <x:v>2000546828-U312</x:v>
      </x:c>
      <x:c r="C121" s="16" t="str">
        <x:v>МАНЖЕТА 1,2-130*160-15 ГОСТ8752-79</x:v>
      </x:c>
      <x:c r="D121" s="16" t="str">
        <x:v>Резино-технические изделия прочие</x:v>
      </x:c>
      <x:c r="E121" s="16" t="str">
        <x:v>ШТ</x:v>
      </x:c>
      <x:c r="F121" s="21" t="n">
        <x:v>4</x:v>
      </x:c>
      <x:c r="G121" s="17" t="n">
        <x:v>279.99</x:v>
      </x:c>
      <x:c r="H121" s="17" t="n">
        <x:f>G121*F121</x:f>
        <x:v>1119.96</x:v>
      </x:c>
      <x:c r="I121" s="22" t="str">
        <x:f>HYPERLINK("https://etp-aktiv.ru/catalog/materialy/rezino-tekhnicheskie-izdeliya/2000546828-U312/","Открыть позицию")</x:f>
        <x:v>Открыть позицию</x:v>
      </x:c>
    </x:row>
    <x:row r="122" ht="28" customHeight="1">
      <x:c r="A122" s="16" t="str">
        <x:v>Кемеровская ТЭЦ</x:v>
      </x:c>
      <x:c r="B122" s="16" t="str">
        <x:v>2000000652-U312</x:v>
      </x:c>
      <x:c r="C122" s="16" t="str">
        <x:v>МАНЖЕТА 1,2-25*42-1 ГОСТ8752-79</x:v>
      </x:c>
      <x:c r="D122" s="16" t="str">
        <x:v>Резино-технические изделия прочие</x:v>
      </x:c>
      <x:c r="E122" s="16" t="str">
        <x:v>ШТ</x:v>
      </x:c>
      <x:c r="F122" s="21" t="n">
        <x:v>2</x:v>
      </x:c>
      <x:c r="G122" s="17" t="n">
        <x:v>5.5266</x:v>
      </x:c>
      <x:c r="H122" s="17" t="n">
        <x:f>G122*F122</x:f>
        <x:v>11.0532</x:v>
      </x:c>
      <x:c r="I122" s="22" t="str">
        <x:f>HYPERLINK("https://etp-aktiv.ru/catalog/materialy/rezino-tekhnicheskie-izdeliya/2000000652-U312/","Открыть позицию")</x:f>
        <x:v>Открыть позицию</x:v>
      </x:c>
    </x:row>
    <x:row r="123" ht="28" customHeight="1">
      <x:c r="A123" s="16" t="str">
        <x:v>Кемеровская ТЭЦ</x:v>
      </x:c>
      <x:c r="B123" s="16" t="str">
        <x:v>2000147861-U312</x:v>
      </x:c>
      <x:c r="C123" s="16" t="str">
        <x:v>МАНЖЕТА 1,2-25*42-2 ГОСТ8752-79</x:v>
      </x:c>
      <x:c r="D123" s="16" t="str">
        <x:v>Резино-технические изделия прочие</x:v>
      </x:c>
      <x:c r="E123" s="16" t="str">
        <x:v>ШТ</x:v>
      </x:c>
      <x:c r="F123" s="21" t="n">
        <x:v>24</x:v>
      </x:c>
      <x:c r="G123" s="17" t="n">
        <x:v>5.2947999999999995</x:v>
      </x:c>
      <x:c r="H123" s="17" t="n">
        <x:f>G123*F123</x:f>
        <x:v>127.0752</x:v>
      </x:c>
      <x:c r="I123" s="22" t="str">
        <x:f>HYPERLINK("https://etp-aktiv.ru/catalog/materialy/rezino-tekhnicheskie-izdeliya/2000147861-U312/","Открыть позицию")</x:f>
        <x:v>Открыть позицию</x:v>
      </x:c>
    </x:row>
    <x:row r="124" ht="28" customHeight="1">
      <x:c r="A124" s="16" t="str">
        <x:v>Кемеровская ТЭЦ</x:v>
      </x:c>
      <x:c r="B124" s="16" t="str">
        <x:v>2000000984-U312</x:v>
      </x:c>
      <x:c r="C124" s="16" t="str">
        <x:v>МАНЖЕТА 1,2-40*60-3 ГОСТ8752-79</x:v>
      </x:c>
      <x:c r="D124" s="16" t="str">
        <x:v>Резино-технические изделия прочие</x:v>
      </x:c>
      <x:c r="E124" s="16" t="str">
        <x:v>ШТ</x:v>
      </x:c>
      <x:c r="F124" s="21" t="n">
        <x:v>2</x:v>
      </x:c>
      <x:c r="G124" s="17" t="n">
        <x:v>24.1194</x:v>
      </x:c>
      <x:c r="H124" s="17" t="n">
        <x:f>G124*F124</x:f>
        <x:v>48.2388</x:v>
      </x:c>
      <x:c r="I124" s="22" t="str">
        <x:f>HYPERLINK("https://etp-aktiv.ru/catalog/materialy/rezino-tekhnicheskie-izdeliya/2000000984-U312/","Открыть позицию")</x:f>
        <x:v>Открыть позицию</x:v>
      </x:c>
    </x:row>
    <x:row r="125" ht="28" customHeight="1">
      <x:c r="A125" s="16" t="str">
        <x:v>Кемеровская ТЭЦ</x:v>
      </x:c>
      <x:c r="B125" s="16" t="str">
        <x:v>2000307653-U312</x:v>
      </x:c>
      <x:c r="C125" s="16" t="str">
        <x:v>МАНЖЕТА 1,2-80*105-1 ГОСТ8752-79</x:v>
      </x:c>
      <x:c r="D125" s="16" t="str">
        <x:v>Резино-технические изделия прочие</x:v>
      </x:c>
      <x:c r="E125" s="16" t="str">
        <x:v>ШТ</x:v>
      </x:c>
      <x:c r="F125" s="21" t="n">
        <x:v>2</x:v>
      </x:c>
      <x:c r="G125" s="17" t="n">
        <x:v>15.3354</x:v>
      </x:c>
      <x:c r="H125" s="17" t="n">
        <x:f>G125*F125</x:f>
        <x:v>30.6708</x:v>
      </x:c>
      <x:c r="I125" s="22" t="str">
        <x:f>HYPERLINK("https://etp-aktiv.ru/catalog/materialy/rezino-tekhnicheskie-izdeliya/2000307653-U312/","Открыть позицию")</x:f>
        <x:v>Открыть позицию</x:v>
      </x:c>
    </x:row>
    <x:row r="126" ht="28" customHeight="1">
      <x:c r="A126" s="16" t="str">
        <x:v>Кемеровская ТЭЦ</x:v>
      </x:c>
      <x:c r="B126" s="16" t="str">
        <x:v>2000172037-U312</x:v>
      </x:c>
      <x:c r="C126" s="16" t="str">
        <x:v>МАНЖЕТА 1-028-3 ГОСТ6678-72</x:v>
      </x:c>
      <x:c r="D126" s="16" t="str">
        <x:v>Резино-технические изделия прочие</x:v>
      </x:c>
      <x:c r="E126" s="16" t="str">
        <x:v>ШТ</x:v>
      </x:c>
      <x:c r="F126" s="21" t="n">
        <x:v>6</x:v>
      </x:c>
      <x:c r="G126" s="17" t="n">
        <x:v>10.5652</x:v>
      </x:c>
      <x:c r="H126" s="17" t="n">
        <x:f>G126*F126</x:f>
        <x:v>63.391200000000005</x:v>
      </x:c>
      <x:c r="I126" s="22" t="str">
        <x:f>HYPERLINK("https://etp-aktiv.ru/catalog/materialy/rezino-tekhnicheskie-izdeliya/2000172037-U312/","Открыть позицию")</x:f>
        <x:v>Открыть позицию</x:v>
      </x:c>
    </x:row>
    <x:row r="127" ht="28" customHeight="1">
      <x:c r="A127" s="16" t="str">
        <x:v>Кемеровская ТЭЦ</x:v>
      </x:c>
      <x:c r="B127" s="16" t="str">
        <x:v>2000000777-U312</x:v>
      </x:c>
      <x:c r="C127" s="16" t="str">
        <x:v>МАНЖЕТА 1-50*40-6 ГОСТ14896-84</x:v>
      </x:c>
      <x:c r="D127" s="16" t="str">
        <x:v>Резино-технические изделия прочие</x:v>
      </x:c>
      <x:c r="E127" s="16" t="str">
        <x:v>ШТ</x:v>
      </x:c>
      <x:c r="F127" s="21" t="n">
        <x:v>8</x:v>
      </x:c>
      <x:c r="G127" s="17" t="n">
        <x:v>16.3846</x:v>
      </x:c>
      <x:c r="H127" s="17" t="n">
        <x:f>G127*F127</x:f>
        <x:v>131.0768</x:v>
      </x:c>
      <x:c r="I127" s="22" t="str">
        <x:f>HYPERLINK("https://etp-aktiv.ru/catalog/materialy/rezino-tekhnicheskie-izdeliya/2000000777-U312/","Открыть позицию")</x:f>
        <x:v>Открыть позицию</x:v>
      </x:c>
    </x:row>
    <x:row r="128" ht="28" customHeight="1">
      <x:c r="A128" s="16" t="str">
        <x:v>Кемеровская ТЭЦ</x:v>
      </x:c>
      <x:c r="B128" s="16" t="str">
        <x:v>2000029815-U312</x:v>
      </x:c>
      <x:c r="C128" s="16" t="str">
        <x:v>МАНЖЕТА 1-50*70-1 ГОСТ8752-79</x:v>
      </x:c>
      <x:c r="D128" s="16" t="str">
        <x:v>Резино-технические изделия прочие</x:v>
      </x:c>
      <x:c r="E128" s="16" t="str">
        <x:v>ШТ</x:v>
      </x:c>
      <x:c r="F128" s="21" t="n">
        <x:v>16</x:v>
      </x:c>
      <x:c r="G128" s="17" t="n">
        <x:v>148.7302</x:v>
      </x:c>
      <x:c r="H128" s="17" t="n">
        <x:f>G128*F128</x:f>
        <x:v>2379.6832</x:v>
      </x:c>
      <x:c r="I128" s="22" t="str">
        <x:f>HYPERLINK("https://etp-aktiv.ru/catalog/materialy/rezino-tekhnicheskie-izdeliya/2000029815-U312/","Открыть позицию")</x:f>
        <x:v>Открыть позицию</x:v>
      </x:c>
    </x:row>
    <x:row r="129" ht="28" customHeight="1">
      <x:c r="A129" s="16" t="str">
        <x:v>Кемеровская ТЭЦ</x:v>
      </x:c>
      <x:c r="B129" s="16" t="str">
        <x:v>2000001797-U312</x:v>
      </x:c>
      <x:c r="C129" s="16" t="str">
        <x:v>МАНЖЕТА 1-80*105-1 ГОСТ8752-79</x:v>
      </x:c>
      <x:c r="D129" s="16" t="str">
        <x:v>Резино-технические изделия прочие</x:v>
      </x:c>
      <x:c r="E129" s="16" t="str">
        <x:v>ШТ</x:v>
      </x:c>
      <x:c r="F129" s="21" t="n">
        <x:v>4</x:v>
      </x:c>
      <x:c r="G129" s="17" t="n">
        <x:v>34.111200000000004</x:v>
      </x:c>
      <x:c r="H129" s="17" t="n">
        <x:f>G129*F129</x:f>
        <x:v>136.44480000000001</x:v>
      </x:c>
      <x:c r="I129" s="22" t="str">
        <x:f>HYPERLINK("https://etp-aktiv.ru/catalog/materialy/rezino-tekhnicheskie-izdeliya/2000001797-U312/","Открыть позицию")</x:f>
        <x:v>Открыть позицию</x:v>
      </x:c>
    </x:row>
    <x:row r="130" ht="28" customHeight="1">
      <x:c r="A130" s="16" t="str">
        <x:v>Кемеровская ТЭЦ</x:v>
      </x:c>
      <x:c r="B130" s="16" t="str">
        <x:v>2000561781-U312</x:v>
      </x:c>
      <x:c r="C130" s="16" t="str">
        <x:v>МАНЖЕТА 2 025-3 ГОСТ6678-72</x:v>
      </x:c>
      <x:c r="D130" s="16" t="str">
        <x:v>Резино-технические изделия прочие</x:v>
      </x:c>
      <x:c r="E130" s="16" t="str">
        <x:v>ШТ</x:v>
      </x:c>
      <x:c r="F130" s="21" t="n">
        <x:v>4</x:v>
      </x:c>
      <x:c r="G130" s="17" t="n">
        <x:v>9.577</x:v>
      </x:c>
      <x:c r="H130" s="17" t="n">
        <x:f>G130*F130</x:f>
        <x:v>38.308</x:v>
      </x:c>
      <x:c r="I130" s="22" t="str">
        <x:f>HYPERLINK("https://etp-aktiv.ru/catalog/materialy/rezino-tekhnicheskie-izdeliya/2000561781-U312/","Открыть позицию")</x:f>
        <x:v>Открыть позицию</x:v>
      </x:c>
    </x:row>
    <x:row r="131" ht="28" customHeight="1">
      <x:c r="A131" s="16" t="str">
        <x:v>Кемеровская ТЭЦ</x:v>
      </x:c>
      <x:c r="B131" s="16" t="str">
        <x:v>2000546715-U312</x:v>
      </x:c>
      <x:c r="C131" s="16" t="str">
        <x:v>МАНЖЕТА 2,2-80*105-2 ГОСТ8752-79</x:v>
      </x:c>
      <x:c r="D131" s="16" t="str">
        <x:v>Резино-технические изделия прочие</x:v>
      </x:c>
      <x:c r="E131" s="16" t="str">
        <x:v>ШТ</x:v>
      </x:c>
      <x:c r="F131" s="21" t="n">
        <x:v>4</x:v>
      </x:c>
      <x:c r="G131" s="17" t="n">
        <x:v>14.664399999999999</x:v>
      </x:c>
      <x:c r="H131" s="17" t="n">
        <x:f>G131*F131</x:f>
        <x:v>58.657599999999995</x:v>
      </x:c>
      <x:c r="I131" s="22" t="str">
        <x:f>HYPERLINK("https://etp-aktiv.ru/catalog/materialy/rezino-tekhnicheskie-izdeliya/2000546715-U312/","Открыть позицию")</x:f>
        <x:v>Открыть позицию</x:v>
      </x:c>
    </x:row>
    <x:row r="132" ht="28" customHeight="1">
      <x:c r="A132" s="16" t="str">
        <x:v>Кемеровская ТЭЦ</x:v>
      </x:c>
      <x:c r="B132" s="16" t="str">
        <x:v>2000539133-U312</x:v>
      </x:c>
      <x:c r="C132" s="16" t="str">
        <x:v>НАБИВКА 200G 16*16</x:v>
      </x:c>
      <x:c r="D132" s="16" t="str">
        <x:v>Асбо-технические изделия</x:v>
      </x:c>
      <x:c r="E132" s="16" t="str">
        <x:v>КГ</x:v>
      </x:c>
      <x:c r="F132" s="29" t="n">
        <x:v>15.75</x:v>
      </x:c>
      <x:c r="G132" s="17" t="n">
        <x:v>622.1999999999999</x:v>
      </x:c>
      <x:c r="H132" s="17" t="n">
        <x:f>G132*F132</x:f>
        <x:v>9799.65</x:v>
      </x:c>
      <x:c r="I132" s="22" t="str">
        <x:f>HYPERLINK("https://etp-aktiv.ru/catalog/materialy/asbo-tekhnicheskie-izdeliya/2000539133-U312/","Открыть позицию")</x:f>
        <x:v>Открыть позицию</x:v>
      </x:c>
    </x:row>
    <x:row r="133" ht="28" customHeight="1">
      <x:c r="A133" s="16" t="str">
        <x:v>Кемеровская ТЭЦ</x:v>
      </x:c>
      <x:c r="B133" s="16" t="str">
        <x:v>2000539134-U312</x:v>
      </x:c>
      <x:c r="C133" s="16" t="str">
        <x:v>НАБИВКА 200G 22*22</x:v>
      </x:c>
      <x:c r="D133" s="16" t="str">
        <x:v>Асбо-технические изделия</x:v>
      </x:c>
      <x:c r="E133" s="16" t="str">
        <x:v>КГ</x:v>
      </x:c>
      <x:c r="F133" s="29" t="n">
        <x:v>5.31</x:v>
      </x:c>
      <x:c r="G133" s="17" t="n">
        <x:v>622.1999999999999</x:v>
      </x:c>
      <x:c r="H133" s="17" t="n">
        <x:f>G133*F133</x:f>
        <x:v>3303.8819999999996</x:v>
      </x:c>
      <x:c r="I133" s="22" t="str">
        <x:f>HYPERLINK("https://etp-aktiv.ru/catalog/materialy/asbo-tekhnicheskie-izdeliya/2000539134-U312/","Открыть позицию")</x:f>
        <x:v>Открыть позицию</x:v>
      </x:c>
    </x:row>
    <x:row r="134" ht="28" customHeight="1">
      <x:c r="A134" s="16" t="str">
        <x:v>Кемеровская ТЭЦ</x:v>
      </x:c>
      <x:c r="B134" s="16" t="str">
        <x:v>2000539145-U312</x:v>
      </x:c>
      <x:c r="C134" s="16" t="str">
        <x:v>НАБИВКА URTEX H 1200 13*13ММ</x:v>
      </x:c>
      <x:c r="D134" s="16" t="str">
        <x:v>Асбо-технические изделия</x:v>
      </x:c>
      <x:c r="E134" s="16" t="str">
        <x:v>КГ</x:v>
      </x:c>
      <x:c r="F134" s="29" t="n">
        <x:v>12.8</x:v>
      </x:c>
      <x:c r="G134" s="17" t="n">
        <x:v>556.3199999999999</x:v>
      </x:c>
      <x:c r="H134" s="17" t="n">
        <x:f>G134*F134</x:f>
        <x:v>7120.896</x:v>
      </x:c>
      <x:c r="I134" s="22" t="str">
        <x:f>HYPERLINK("https://etp-aktiv.ru/catalog/materialy/asbo-tekhnicheskie-izdeliya/2000539145-U312/","Открыть позицию")</x:f>
        <x:v>Открыть позицию</x:v>
      </x:c>
    </x:row>
    <x:row r="135" ht="28" customHeight="1">
      <x:c r="A135" s="16" t="str">
        <x:v>Кемеровская ТЭЦ</x:v>
      </x:c>
      <x:c r="B135" s="16" t="str">
        <x:v>2000031503-U312</x:v>
      </x:c>
      <x:c r="C135" s="16" t="str">
        <x:v>НАБИВКА АП-31 12ММ</x:v>
      </x:c>
      <x:c r="D135" s="16" t="str">
        <x:v>Асбо-технические изделия</x:v>
      </x:c>
      <x:c r="E135" s="16" t="str">
        <x:v>КГ</x:v>
      </x:c>
      <x:c r="F135" s="29" t="n">
        <x:v>27.05</x:v>
      </x:c>
      <x:c r="G135" s="17" t="n">
        <x:v>203.91079999999997</x:v>
      </x:c>
      <x:c r="H135" s="17" t="n">
        <x:f>G135*F135</x:f>
        <x:v>5515.787139999999</x:v>
      </x:c>
      <x:c r="I135" s="22" t="str">
        <x:f>HYPERLINK("https://etp-aktiv.ru/catalog/materialy/asbo-tekhnicheskie-izdeliya/2000031503-U312/","Открыть позицию")</x:f>
        <x:v>Открыть позицию</x:v>
      </x:c>
    </x:row>
    <x:row r="136" ht="28" customHeight="1">
      <x:c r="A136" s="16" t="str">
        <x:v>Кемеровская ТЭЦ</x:v>
      </x:c>
      <x:c r="B136" s="16" t="str">
        <x:v>2000031504-U312</x:v>
      </x:c>
      <x:c r="C136" s="16" t="str">
        <x:v>НАБИВКА АП-31 14ММ</x:v>
      </x:c>
      <x:c r="D136" s="16" t="str">
        <x:v>Асбо-технические изделия</x:v>
      </x:c>
      <x:c r="E136" s="16" t="str">
        <x:v>КГ</x:v>
      </x:c>
      <x:c r="F136" s="29" t="n">
        <x:v>14.1</x:v>
      </x:c>
      <x:c r="G136" s="17" t="n">
        <x:v>118.8158</x:v>
      </x:c>
      <x:c r="H136" s="17" t="n">
        <x:f>G136*F136</x:f>
        <x:v>1675.30278</x:v>
      </x:c>
      <x:c r="I136" s="22" t="str">
        <x:f>HYPERLINK("https://etp-aktiv.ru/catalog/materialy/asbo-tekhnicheskie-izdeliya/2000031504-U312/","Открыть позицию")</x:f>
        <x:v>Открыть позицию</x:v>
      </x:c>
    </x:row>
    <x:row r="137" ht="28" customHeight="1">
      <x:c r="A137" s="16" t="str">
        <x:v>Кемеровская ТЭЦ</x:v>
      </x:c>
      <x:c r="B137" s="16" t="str">
        <x:v>2000157676-U312</x:v>
      </x:c>
      <x:c r="C137" s="16" t="str">
        <x:v>НАБИВКА АП-31 16*16ММ</x:v>
      </x:c>
      <x:c r="D137" s="16" t="str">
        <x:v>Асбо-технические изделия</x:v>
      </x:c>
      <x:c r="E137" s="16" t="str">
        <x:v>КГ</x:v>
      </x:c>
      <x:c r="F137" s="29" t="n">
        <x:v>10.9</x:v>
      </x:c>
      <x:c r="G137" s="17" t="n">
        <x:v>248.941</x:v>
      </x:c>
      <x:c r="H137" s="17" t="n">
        <x:f>G137*F137</x:f>
        <x:v>2713.4569</x:v>
      </x:c>
      <x:c r="I137" s="22" t="str">
        <x:f>HYPERLINK("https://etp-aktiv.ru/catalog/materialy/asbo-tekhnicheskie-izdeliya/2000157676-U312/","Открыть позицию")</x:f>
        <x:v>Открыть позицию</x:v>
      </x:c>
    </x:row>
    <x:row r="138" ht="28" customHeight="1">
      <x:c r="A138" s="16" t="str">
        <x:v>Кемеровская ТЭЦ</x:v>
      </x:c>
      <x:c r="B138" s="16" t="str">
        <x:v>2000645106-U312</x:v>
      </x:c>
      <x:c r="C138" s="16" t="str">
        <x:v>НАБИВКА АП-31 8*8 СКВОЗ ПЛЕТЕН ГОСТ5152</x:v>
      </x:c>
      <x:c r="D138" s="16" t="str">
        <x:v>Асбо-технические изделия</x:v>
      </x:c>
      <x:c r="E138" s="16" t="str">
        <x:v>КГ</x:v>
      </x:c>
      <x:c r="F138" s="29" t="n">
        <x:v>11.5</x:v>
      </x:c>
      <x:c r="G138" s="17" t="n">
        <x:v>300.5836</x:v>
      </x:c>
      <x:c r="H138" s="17" t="n">
        <x:f>G138*F138</x:f>
        <x:v>3456.7113999999997</x:v>
      </x:c>
      <x:c r="I138" s="22" t="str">
        <x:f>HYPERLINK("https://etp-aktiv.ru/catalog/materialy/asbo-tekhnicheskie-izdeliya/2000645106-U312/","Открыть позицию")</x:f>
        <x:v>Открыть позицию</x:v>
      </x:c>
    </x:row>
    <x:row r="139" ht="28" customHeight="1">
      <x:c r="A139" s="16" t="str">
        <x:v>Кемеровская ТЭЦ</x:v>
      </x:c>
      <x:c r="B139" s="16" t="str">
        <x:v>2000165107-U312</x:v>
      </x:c>
      <x:c r="C139" s="16" t="str">
        <x:v>НАБИВКА АПР-31 13*13ММ</x:v>
      </x:c>
      <x:c r="D139" s="16" t="str">
        <x:v>Асбо-технические изделия</x:v>
      </x:c>
      <x:c r="E139" s="16" t="str">
        <x:v>КГ</x:v>
      </x:c>
      <x:c r="F139" s="21" t="n">
        <x:v>3</x:v>
      </x:c>
      <x:c r="G139" s="17" t="n">
        <x:v>449.997</x:v>
      </x:c>
      <x:c r="H139" s="17" t="n">
        <x:f>G139*F139</x:f>
        <x:v>1349.991</x:v>
      </x:c>
      <x:c r="I139" s="22" t="str">
        <x:f>HYPERLINK("https://etp-aktiv.ru/catalog/materialy/asbo-tekhnicheskie-izdeliya/2000165107-U312/","Открыть позицию")</x:f>
        <x:v>Открыть позицию</x:v>
      </x:c>
    </x:row>
    <x:row r="140" ht="28" customHeight="1">
      <x:c r="A140" s="16" t="str">
        <x:v>Кемеровская ТЭЦ</x:v>
      </x:c>
      <x:c r="B140" s="16" t="str">
        <x:v>2000185474-U312</x:v>
      </x:c>
      <x:c r="C140" s="16" t="str">
        <x:v>НАБИВКА АПР-31 22*22</x:v>
      </x:c>
      <x:c r="D140" s="16" t="str">
        <x:v>Асбо-технические изделия</x:v>
      </x:c>
      <x:c r="E140" s="16" t="str">
        <x:v>КГ</x:v>
      </x:c>
      <x:c r="F140" s="21" t="n">
        <x:v>9</x:v>
      </x:c>
      <x:c r="G140" s="17" t="n">
        <x:v>320.86</x:v>
      </x:c>
      <x:c r="H140" s="17" t="n">
        <x:f>G140*F140</x:f>
        <x:v>2887.7400000000002</x:v>
      </x:c>
      <x:c r="I140" s="22" t="str">
        <x:f>HYPERLINK("https://etp-aktiv.ru/catalog/materialy/asbo-tekhnicheskie-izdeliya/2000185474-U312/","Открыть позицию")</x:f>
        <x:v>Открыть позицию</x:v>
      </x:c>
    </x:row>
    <x:row r="141" ht="28" customHeight="1">
      <x:c r="A141" s="16" t="str">
        <x:v>Кемеровская ТЭЦ</x:v>
      </x:c>
      <x:c r="B141" s="16" t="str">
        <x:v>2000165095-U312</x:v>
      </x:c>
      <x:c r="C141" s="16" t="str">
        <x:v>НАБИВКА АПР-31 6*6ММ</x:v>
      </x:c>
      <x:c r="D141" s="16" t="str">
        <x:v>Асбо-технические изделия</x:v>
      </x:c>
      <x:c r="E141" s="16" t="str">
        <x:v>КГ</x:v>
      </x:c>
      <x:c r="F141" s="29" t="n">
        <x:v>9.1</x:v>
      </x:c>
      <x:c r="G141" s="17" t="n">
        <x:v>449.997</x:v>
      </x:c>
      <x:c r="H141" s="17" t="n">
        <x:f>G141*F141</x:f>
        <x:v>4094.9727</x:v>
      </x:c>
      <x:c r="I141" s="22" t="str">
        <x:f>HYPERLINK("https://etp-aktiv.ru/catalog/materialy/asbo-tekhnicheskie-izdeliya/2000165095-U312/","Открыть позицию")</x:f>
        <x:v>Открыть позицию</x:v>
      </x:c>
    </x:row>
    <x:row r="142" ht="28" customHeight="1">
      <x:c r="A142" s="16" t="str">
        <x:v>Кемеровская ТЭЦ</x:v>
      </x:c>
      <x:c r="B142" s="16" t="str">
        <x:v>2000165516-U312</x:v>
      </x:c>
      <x:c r="C142" s="16" t="str">
        <x:v>НАБИВКА АС 20*20ММ ОДНОСЛОЙ ПЛЕТЕНИЕ</x:v>
      </x:c>
      <x:c r="D142" s="16" t="str">
        <x:v>Асбо-технические изделия</x:v>
      </x:c>
      <x:c r="E142" s="16" t="str">
        <x:v>КГ</x:v>
      </x:c>
      <x:c r="F142" s="30" t="n">
        <x:v>0.5</x:v>
      </x:c>
      <x:c r="G142" s="17" t="n">
        <x:v>134.6148</x:v>
      </x:c>
      <x:c r="H142" s="17" t="n">
        <x:f>G142*F142</x:f>
        <x:v>67.3074</x:v>
      </x:c>
      <x:c r="I142" s="22" t="str">
        <x:f>HYPERLINK("https://etp-aktiv.ru/catalog/materialy/asbo-tekhnicheskie-izdeliya/2000165516-U312/","Открыть позицию")</x:f>
        <x:v>Открыть позицию</x:v>
      </x:c>
    </x:row>
    <x:row r="143" ht="28" customHeight="1">
      <x:c r="A143" s="16" t="str">
        <x:v>Кемеровская ТЭЦ</x:v>
      </x:c>
      <x:c r="B143" s="16" t="str">
        <x:v>2000031545-U312</x:v>
      </x:c>
      <x:c r="C143" s="16" t="str">
        <x:v>НАБИВКА ЛП 14ММ</x:v>
      </x:c>
      <x:c r="D143" s="16" t="str">
        <x:v>Асбо-технические изделия</x:v>
      </x:c>
      <x:c r="E143" s="16" t="str">
        <x:v>КГ</x:v>
      </x:c>
      <x:c r="F143" s="21" t="n">
        <x:v>4</x:v>
      </x:c>
      <x:c r="G143" s="17" t="n">
        <x:v>236.92399999999998</x:v>
      </x:c>
      <x:c r="H143" s="17" t="n">
        <x:f>G143*F143</x:f>
        <x:v>947.6959999999999</x:v>
      </x:c>
      <x:c r="I143" s="22" t="str">
        <x:f>HYPERLINK("https://etp-aktiv.ru/catalog/materialy/asbo-tekhnicheskie-izdeliya/2000031545-U312/","Открыть позицию")</x:f>
        <x:v>Открыть позицию</x:v>
      </x:c>
    </x:row>
    <x:row r="144" ht="28" customHeight="1">
      <x:c r="A144" s="16" t="str">
        <x:v>Кемеровская ТЭЦ</x:v>
      </x:c>
      <x:c r="B144" s="16" t="str">
        <x:v>2000031549-U312</x:v>
      </x:c>
      <x:c r="C144" s="16" t="str">
        <x:v>НАБИВКА ЛП 16ММ</x:v>
      </x:c>
      <x:c r="D144" s="16" t="str">
        <x:v>Асбо-технические изделия</x:v>
      </x:c>
      <x:c r="E144" s="16" t="str">
        <x:v>КГ</x:v>
      </x:c>
      <x:c r="F144" s="29" t="n">
        <x:v>6.8</x:v>
      </x:c>
      <x:c r="G144" s="17" t="n">
        <x:v>319.7864</x:v>
      </x:c>
      <x:c r="H144" s="17" t="n">
        <x:f>G144*F144</x:f>
        <x:v>2174.54752</x:v>
      </x:c>
      <x:c r="I144" s="22" t="str">
        <x:f>HYPERLINK("https://etp-aktiv.ru/catalog/materialy/asbo-tekhnicheskie-izdeliya/2000031549-U312/","Открыть позицию")</x:f>
        <x:v>Открыть позицию</x:v>
      </x:c>
    </x:row>
    <x:row r="145" ht="28" customHeight="1">
      <x:c r="A145" s="16" t="str">
        <x:v>Кемеровская ТЭЦ</x:v>
      </x:c>
      <x:c r="B145" s="16" t="str">
        <x:v>2000258613-U312</x:v>
      </x:c>
      <x:c r="C145" s="16" t="str">
        <x:v>НАБИВКА ЛП-31 30*30ММ</x:v>
      </x:c>
      <x:c r="D145" s="16" t="str">
        <x:v>Асбо-технические изделия</x:v>
      </x:c>
      <x:c r="E145" s="16" t="str">
        <x:v>КГ</x:v>
      </x:c>
      <x:c r="F145" s="21" t="n">
        <x:v>20</x:v>
      </x:c>
      <x:c r="G145" s="17" t="n">
        <x:v>281.0392</x:v>
      </x:c>
      <x:c r="H145" s="17" t="n">
        <x:f>G145*F145</x:f>
        <x:v>5620.784</x:v>
      </x:c>
      <x:c r="I145" s="22" t="str">
        <x:f>HYPERLINK("https://etp-aktiv.ru/catalog/materialy/asbo-tekhnicheskie-izdeliya/2000258613-U312/","Открыть позицию")</x:f>
        <x:v>Открыть позицию</x:v>
      </x:c>
    </x:row>
    <x:row r="146" ht="28" customHeight="1">
      <x:c r="A146" s="16" t="str">
        <x:v>Кемеровская ТЭЦ</x:v>
      </x:c>
      <x:c r="B146" s="16" t="str">
        <x:v>2000539173-U312</x:v>
      </x:c>
      <x:c r="C146" s="16" t="str">
        <x:v>НАБИВКА МНОГОСЛОЙНОЕ АП-31 22*22</x:v>
      </x:c>
      <x:c r="D146" s="16" t="str">
        <x:v>Асбо-технические изделия</x:v>
      </x:c>
      <x:c r="E146" s="16" t="str">
        <x:v>КГ</x:v>
      </x:c>
      <x:c r="F146" s="29" t="n">
        <x:v>29.9</x:v>
      </x:c>
      <x:c r="G146" s="17" t="n">
        <x:v>206.2776</x:v>
      </x:c>
      <x:c r="H146" s="17" t="n">
        <x:f>G146*F146</x:f>
        <x:v>6167.70024</x:v>
      </x:c>
      <x:c r="I146" s="22" t="str">
        <x:f>HYPERLINK("https://etp-aktiv.ru/catalog/materialy/asbo-tekhnicheskie-izdeliya/2000539173-U312/","Открыть позицию")</x:f>
        <x:v>Открыть позицию</x:v>
      </x:c>
    </x:row>
    <x:row r="147" ht="28" customHeight="1">
      <x:c r="A147" s="16" t="str">
        <x:v>Кемеровская ТЭЦ</x:v>
      </x:c>
      <x:c r="B147" s="16" t="str">
        <x:v>2000172331-U312</x:v>
      </x:c>
      <x:c r="C147" s="16" t="str">
        <x:v>НАБИВКА НГ-Н-14*14ММ</x:v>
      </x:c>
      <x:c r="D147" s="16" t="str">
        <x:v>Асбо-технические изделия</x:v>
      </x:c>
      <x:c r="E147" s="16" t="str">
        <x:v>КГ</x:v>
      </x:c>
      <x:c r="F147" s="29" t="n">
        <x:v>1.5</x:v>
      </x:c>
      <x:c r="G147" s="17" t="n">
        <x:v>494.09999999999997</x:v>
      </x:c>
      <x:c r="H147" s="17" t="n">
        <x:f>G147*F147</x:f>
        <x:v>741.15</x:v>
      </x:c>
      <x:c r="I147" s="22" t="str">
        <x:f>HYPERLINK("https://etp-aktiv.ru/catalog/materialy/asbo-tekhnicheskie-izdeliya/2000172331-U312/","Открыть позицию")</x:f>
        <x:v>Открыть позицию</x:v>
      </x:c>
    </x:row>
    <x:row r="148" ht="28" customHeight="1">
      <x:c r="A148" s="16" t="str">
        <x:v>Кемеровская ТЭЦ</x:v>
      </x:c>
      <x:c r="B148" s="16" t="str">
        <x:v>2000185462-U312</x:v>
      </x:c>
      <x:c r="C148" s="16" t="str">
        <x:v>НАБИВКА НГФ-ХБ 13*13 ГРАФЛЕКС</x:v>
      </x:c>
      <x:c r="D148" s="16" t="str">
        <x:v>Асбо-технические изделия</x:v>
      </x:c>
      <x:c r="E148" s="16" t="str">
        <x:v>КГ</x:v>
      </x:c>
      <x:c r="F148" s="21" t="n">
        <x:v>1</x:v>
      </x:c>
      <x:c r="G148" s="17" t="n">
        <x:v>1110.627</x:v>
      </x:c>
      <x:c r="H148" s="17" t="n">
        <x:f>G148*F148</x:f>
        <x:v>1110.627</x:v>
      </x:c>
      <x:c r="I148" s="22" t="str">
        <x:f>HYPERLINK("https://etp-aktiv.ru/catalog/materialy/asbo-tekhnicheskie-izdeliya/2000185462-U312/","Открыть позицию")</x:f>
        <x:v>Открыть позицию</x:v>
      </x:c>
    </x:row>
    <x:row r="149" ht="28" customHeight="1">
      <x:c r="A149" s="16" t="str">
        <x:v>Кемеровская ТЭЦ</x:v>
      </x:c>
      <x:c r="B149" s="16" t="str">
        <x:v>2000539176-U312</x:v>
      </x:c>
      <x:c r="C149" s="16" t="str">
        <x:v>НАБИВКА ОДНОСЛОЙНОЕ ПЛЕТЕНИЕ АП-31 12*12</x:v>
      </x:c>
      <x:c r="D149" s="16" t="str">
        <x:v>Асбо-технические изделия</x:v>
      </x:c>
      <x:c r="E149" s="16" t="str">
        <x:v>КГ</x:v>
      </x:c>
      <x:c r="F149" s="21" t="n">
        <x:v>1</x:v>
      </x:c>
      <x:c r="G149" s="17" t="n">
        <x:v>294.2518</x:v>
      </x:c>
      <x:c r="H149" s="17" t="n">
        <x:f>G149*F149</x:f>
        <x:v>294.2518</x:v>
      </x:c>
      <x:c r="I149" s="22" t="str">
        <x:f>HYPERLINK("https://etp-aktiv.ru/catalog/materialy/asbo-tekhnicheskie-izdeliya/2000539176-U312/","Открыть позицию")</x:f>
        <x:v>Открыть позицию</x:v>
      </x:c>
    </x:row>
    <x:row r="150" ht="28" customHeight="1">
      <x:c r="A150" s="16" t="str">
        <x:v>Кемеровская ТЭЦ</x:v>
      </x:c>
      <x:c r="B150" s="16" t="str">
        <x:v>2000586332-U312</x:v>
      </x:c>
      <x:c r="C150" s="16" t="str">
        <x:v>НАБИВКА САЛЬНИКОВАЯ АП-31 28*28ММ</x:v>
      </x:c>
      <x:c r="D150" s="16" t="str">
        <x:v>Асбо-технические изделия</x:v>
      </x:c>
      <x:c r="E150" s="16" t="str">
        <x:v>КГ</x:v>
      </x:c>
      <x:c r="F150" s="29" t="n">
        <x:v>9.5</x:v>
      </x:c>
      <x:c r="G150" s="17" t="n">
        <x:v>148.4984</x:v>
      </x:c>
      <x:c r="H150" s="17" t="n">
        <x:f>G150*F150</x:f>
        <x:v>1410.7348</x:v>
      </x:c>
      <x:c r="I150" s="22" t="str">
        <x:f>HYPERLINK("https://etp-aktiv.ru/catalog/materialy/asbo-tekhnicheskie-izdeliya/2000586332-U312/","Открыть позицию")</x:f>
        <x:v>Открыть позицию</x:v>
      </x:c>
    </x:row>
    <x:row r="151" ht="28" customHeight="1">
      <x:c r="A151" s="16" t="str">
        <x:v>Кемеровская ТЭЦ</x:v>
      </x:c>
      <x:c r="B151" s="16" t="str">
        <x:v>2000539204-U312</x:v>
      </x:c>
      <x:c r="C151" s="16" t="str">
        <x:v>НАБИВКА СКВОЗНОЕ ПЛЕТЕНИЕ АС 10*10</x:v>
      </x:c>
      <x:c r="D151" s="16" t="str">
        <x:v>Асбо-технические изделия</x:v>
      </x:c>
      <x:c r="E151" s="16" t="str">
        <x:v>КГ</x:v>
      </x:c>
      <x:c r="F151" s="30" t="n">
        <x:v>0.8</x:v>
      </x:c>
      <x:c r="G151" s="17" t="n">
        <x:v>397.42719999999997</x:v>
      </x:c>
      <x:c r="H151" s="17" t="n">
        <x:f>G151*F151</x:f>
        <x:v>317.94176</x:v>
      </x:c>
      <x:c r="I151" s="22" t="str">
        <x:f>HYPERLINK("https://etp-aktiv.ru/catalog/materialy/asbo-tekhnicheskie-izdeliya/2000539204-U312/","Открыть позицию")</x:f>
        <x:v>Открыть позицию</x:v>
      </x:c>
    </x:row>
    <x:row r="152" ht="28" customHeight="1">
      <x:c r="A152" s="16" t="str">
        <x:v>Кемеровская ТЭЦ</x:v>
      </x:c>
      <x:c r="B152" s="16" t="str">
        <x:v>2000031487-U312</x:v>
      </x:c>
      <x:c r="C152" s="16" t="str">
        <x:v>НАБИВКА ХБП-31 13ММ</x:v>
      </x:c>
      <x:c r="D152" s="16" t="str">
        <x:v>Асбо-технические изделия</x:v>
      </x:c>
      <x:c r="E152" s="16" t="str">
        <x:v>КГ</x:v>
      </x:c>
      <x:c r="F152" s="29" t="n">
        <x:v>2.5</x:v>
      </x:c>
      <x:c r="G152" s="17" t="n">
        <x:v>277.47679999999997</x:v>
      </x:c>
      <x:c r="H152" s="17" t="n">
        <x:f>G152*F152</x:f>
        <x:v>693.6919999999999</x:v>
      </x:c>
      <x:c r="I152" s="22" t="str">
        <x:f>HYPERLINK("https://etp-aktiv.ru/catalog/materialy/asbo-tekhnicheskie-izdeliya/2000031487-U312/","Открыть позицию")</x:f>
        <x:v>Открыть позицию</x:v>
      </x:c>
    </x:row>
    <x:row r="153" ht="28" customHeight="1">
      <x:c r="A153" s="16" t="str">
        <x:v>Кемеровская ТЭЦ</x:v>
      </x:c>
      <x:c r="B153" s="16" t="str">
        <x:v>2000207569-U312</x:v>
      </x:c>
      <x:c r="C153" s="16" t="str">
        <x:v>НАБИВКА ХБП-31 14*14ММ</x:v>
      </x:c>
      <x:c r="D153" s="16" t="str">
        <x:v>Асбо-технические изделия</x:v>
      </x:c>
      <x:c r="E153" s="16" t="str">
        <x:v>КГ</x:v>
      </x:c>
      <x:c r="F153" s="29" t="n">
        <x:v>2.84</x:v>
      </x:c>
      <x:c r="G153" s="17" t="n">
        <x:v>295.0814</x:v>
      </x:c>
      <x:c r="H153" s="17" t="n">
        <x:f>G153*F153</x:f>
        <x:v>838.0311759999998</x:v>
      </x:c>
      <x:c r="I153" s="22" t="str">
        <x:f>HYPERLINK("https://etp-aktiv.ru/catalog/materialy/asbo-tekhnicheskie-izdeliya/2000207569-U312/","Открыть позицию")</x:f>
        <x:v>Открыть позицию</x:v>
      </x:c>
    </x:row>
    <x:row r="154" ht="28" customHeight="1">
      <x:c r="A154" s="16" t="str">
        <x:v>Кемеровская ТЭЦ</x:v>
      </x:c>
      <x:c r="B154" s="16" t="str">
        <x:v>2000031484-U312</x:v>
      </x:c>
      <x:c r="C154" s="16" t="str">
        <x:v>НАБИВКА ХБП-31 8ММ</x:v>
      </x:c>
      <x:c r="D154" s="16" t="str">
        <x:v>Асбо-технические изделия</x:v>
      </x:c>
      <x:c r="E154" s="16" t="str">
        <x:v>КГ</x:v>
      </x:c>
      <x:c r="F154" s="30" t="n">
        <x:v>0.4</x:v>
      </x:c>
      <x:c r="G154" s="17" t="n">
        <x:v>194.79739999999998</x:v>
      </x:c>
      <x:c r="H154" s="17" t="n">
        <x:f>G154*F154</x:f>
        <x:v>77.91896</x:v>
      </x:c>
      <x:c r="I154" s="22" t="str">
        <x:f>HYPERLINK("https://etp-aktiv.ru/catalog/materialy/asbo-tekhnicheskie-izdeliya/2000031484-U312/","Открыть позицию")</x:f>
        <x:v>Открыть позицию</x:v>
      </x:c>
    </x:row>
    <x:row r="155" ht="28" customHeight="1">
      <x:c r="A155" s="16" t="str">
        <x:v>Кемеровская ТЭЦ</x:v>
      </x:c>
      <x:c r="B155" s="16" t="str">
        <x:v>2000596749-U312</x:v>
      </x:c>
      <x:c r="C155" s="16" t="str">
        <x:v>ПАРОНИТ ПОН 1ММ</x:v>
      </x:c>
      <x:c r="D155" s="16" t="str">
        <x:v>Асбо-технические изделия</x:v>
      </x:c>
      <x:c r="E155" s="16" t="str">
        <x:v>КГ</x:v>
      </x:c>
      <x:c r="F155" s="29" t="n">
        <x:v>4.1</x:v>
      </x:c>
      <x:c r="G155" s="17" t="n">
        <x:v>72.4558</x:v>
      </x:c>
      <x:c r="H155" s="17" t="n">
        <x:f>G155*F155</x:f>
        <x:v>297.06877999999995</x:v>
      </x:c>
      <x:c r="I155" s="22" t="str">
        <x:f>HYPERLINK("https://etp-aktiv.ru/catalog/materialy/asbo-tekhnicheskie-izdeliya/2000596749-U312/","Открыть позицию")</x:f>
        <x:v>Открыть позицию</x:v>
      </x:c>
    </x:row>
    <x:row r="156" ht="28" customHeight="1">
      <x:c r="A156" s="16" t="str">
        <x:v>Кемеровская ТЭЦ</x:v>
      </x:c>
      <x:c r="B156" s="16" t="str">
        <x:v>2000248640-U312</x:v>
      </x:c>
      <x:c r="C156" s="16" t="str">
        <x:v>ПЛАСТИНА РЕЗ УМ 8*800*1000 ГОСТ12855-77</x:v>
      </x:c>
      <x:c r="D156" s="16" t="str">
        <x:v>Резино-технические изделия прочие</x:v>
      </x:c>
      <x:c r="E156" s="16" t="str">
        <x:v>КГ</x:v>
      </x:c>
      <x:c r="F156" s="29" t="n">
        <x:v>2.4</x:v>
      </x:c>
      <x:c r="G156" s="17" t="n">
        <x:v>230.0066</x:v>
      </x:c>
      <x:c r="H156" s="17" t="n">
        <x:f>G156*F156</x:f>
        <x:v>552.0158399999999</x:v>
      </x:c>
      <x:c r="I156" s="22" t="str">
        <x:f>HYPERLINK("https://etp-aktiv.ru/catalog/materialy/rezino-tekhnicheskie-izdeliya/2000248640-U312/","Открыть позицию")</x:f>
        <x:v>Открыть позицию</x:v>
      </x:c>
    </x:row>
    <x:row r="157" ht="28" customHeight="1">
      <x:c r="A157" s="16" t="str">
        <x:v>Кемеровская ТЭЦ</x:v>
      </x:c>
      <x:c r="B157" s="16" t="str">
        <x:v>2000539295-U312</x:v>
      </x:c>
      <x:c r="C157" s="16" t="str">
        <x:v>ПОЛОТНО АСБЕСТОВОЕ ПНАХ-1С</x:v>
      </x:c>
      <x:c r="D157" s="16" t="str">
        <x:v>Асбо-технические изделия</x:v>
      </x:c>
      <x:c r="E157" s="16" t="str">
        <x:v>М2</x:v>
      </x:c>
      <x:c r="F157" s="21" t="n">
        <x:v>10</x:v>
      </x:c>
      <x:c r="G157" s="17" t="n">
        <x:v>834.2604</x:v>
      </x:c>
      <x:c r="H157" s="17" t="n">
        <x:f>G157*F157</x:f>
        <x:v>8342.604</x:v>
      </x:c>
      <x:c r="I157" s="22" t="str">
        <x:f>HYPERLINK("https://etp-aktiv.ru/catalog/materialy/asbo-tekhnicheskie-izdeliya/2000539295-U312/","Открыть позицию")</x:f>
        <x:v>Открыть позицию</x:v>
      </x:c>
    </x:row>
    <x:row r="158" ht="28" customHeight="1">
      <x:c r="A158" s="16" t="str">
        <x:v>Кемеровская ТЭЦ</x:v>
      </x:c>
      <x:c r="B158" s="16" t="str">
        <x:v>2000140894-U312</x:v>
      </x:c>
      <x:c r="C158" s="16" t="str">
        <x:v>РЕЗИНА ЛИСТОВАЯ 4ММ МБС ГОСТ7338-90</x:v>
      </x:c>
      <x:c r="D158" s="16" t="str">
        <x:v>Резино-технические изделия прочие</x:v>
      </x:c>
      <x:c r="E158" s="16" t="str">
        <x:v>КГ</x:v>
      </x:c>
      <x:c r="F158" s="30" t="n">
        <x:v>0.4</x:v>
      </x:c>
      <x:c r="G158" s="17" t="n">
        <x:v>104.49300000000001</x:v>
      </x:c>
      <x:c r="H158" s="17" t="n">
        <x:f>G158*F158</x:f>
        <x:v>41.797200000000004</x:v>
      </x:c>
      <x:c r="I158" s="22" t="str">
        <x:f>HYPERLINK("https://etp-aktiv.ru/catalog/materialy/rezino-tekhnicheskie-izdeliya/2000140894-U312/","Открыть позицию")</x:f>
        <x:v>Открыть позицию</x:v>
      </x:c>
    </x:row>
    <x:row r="159" ht="28" customHeight="1">
      <x:c r="A159" s="16" t="str">
        <x:v>Кемеровская ТЭЦ</x:v>
      </x:c>
      <x:c r="B159" s="16" t="str">
        <x:v>2000140895-U312</x:v>
      </x:c>
      <x:c r="C159" s="16" t="str">
        <x:v>РЕЗИНА ЛИСТОВАЯ 6ММ МБС ГОСТ7338-90</x:v>
      </x:c>
      <x:c r="D159" s="16" t="str">
        <x:v>Резино-технические изделия прочие</x:v>
      </x:c>
      <x:c r="E159" s="16" t="str">
        <x:v>КГ</x:v>
      </x:c>
      <x:c r="F159" s="30" t="n">
        <x:v>0.6</x:v>
      </x:c>
      <x:c r="G159" s="17" t="n">
        <x:v>104.5174</x:v>
      </x:c>
      <x:c r="H159" s="17" t="n">
        <x:f>G159*F159</x:f>
        <x:v>62.71043999999999</x:v>
      </x:c>
      <x:c r="I159" s="22" t="str">
        <x:f>HYPERLINK("https://etp-aktiv.ru/catalog/materialy/rezino-tekhnicheskie-izdeliya/2000140895-U312/","Открыть позицию")</x:f>
        <x:v>Открыть позицию</x:v>
      </x:c>
    </x:row>
    <x:row r="160" ht="28" customHeight="1">
      <x:c r="A160" s="16" t="str">
        <x:v>Кемеровская ТЭЦ</x:v>
      </x:c>
      <x:c r="B160" s="16" t="str">
        <x:v>2000073751-U312</x:v>
      </x:c>
      <x:c r="C160" s="16" t="str">
        <x:v>РЕЗИНА СЫРАЯ МЯГКАЯ ИРП-1347</x:v>
      </x:c>
      <x:c r="D160" s="16" t="str">
        <x:v>Резино-технические изделия прочие</x:v>
      </x:c>
      <x:c r="E160" s="16" t="str">
        <x:v>КГ</x:v>
      </x:c>
      <x:c r="F160" s="21" t="n">
        <x:v>10</x:v>
      </x:c>
      <x:c r="G160" s="17" t="n">
        <x:v>256.2</x:v>
      </x:c>
      <x:c r="H160" s="17" t="n">
        <x:f>G160*F160</x:f>
        <x:v>2562</x:v>
      </x:c>
      <x:c r="I160" s="22" t="str">
        <x:f>HYPERLINK("https://etp-aktiv.ru/catalog/materialy/rezino-tekhnicheskie-izdeliya/2000073751-U312/","Открыть позицию")</x:f>
        <x:v>Открыть позицию</x:v>
      </x:c>
    </x:row>
    <x:row r="161" ht="28" customHeight="1">
      <x:c r="A161" s="16" t="str">
        <x:v>Кемеровская ТЭЦ</x:v>
      </x:c>
      <x:c r="B161" s="16" t="str">
        <x:v>2000547102-U312</x:v>
      </x:c>
      <x:c r="C161" s="16" t="str">
        <x:v>РУКАВ I-9-0,63 ГОСТ9356-75 ПРОПАН</x:v>
      </x:c>
      <x:c r="D161" s="16" t="str">
        <x:v>Резино-технические изделия проч специализирован и под заказ</x:v>
      </x:c>
      <x:c r="E161" s="16" t="str">
        <x:v>ПМ</x:v>
      </x:c>
      <x:c r="F161" s="21" t="n">
        <x:v>101</x:v>
      </x:c>
      <x:c r="G161" s="17" t="n">
        <x:v>36.4048</x:v>
      </x:c>
      <x:c r="H161" s="17" t="n">
        <x:f>G161*F161</x:f>
        <x:v>3676.8848000000003</x:v>
      </x:c>
      <x:c r="I161" s="22" t="str">
        <x:f>HYPERLINK("https://etp-aktiv.ru/catalog/materialy/rezino-tekhnicheskie-izdeliya/2000547102-U312/","Открыть позицию")</x:f>
        <x:v>Открыть позицию</x:v>
      </x:c>
    </x:row>
    <x:row r="162" ht="28" customHeight="1">
      <x:c r="A162" s="16" t="str">
        <x:v>Кемеровская ТЭЦ</x:v>
      </x:c>
      <x:c r="B162" s="16" t="str">
        <x:v>2000698878-U312</x:v>
      </x:c>
      <x:c r="C162" s="16" t="str">
        <x:v>РУКАВ В(II) 20*31-6,3 У ГОСТ18698-79</x:v>
      </x:c>
      <x:c r="D162" s="16" t="str">
        <x:v>Резино-технические изделия проч специализирован и под заказ</x:v>
      </x:c>
      <x:c r="E162" s="16" t="str">
        <x:v>ПМ</x:v>
      </x:c>
      <x:c r="F162" s="21" t="n">
        <x:v>3</x:v>
      </x:c>
      <x:c r="G162" s="17" t="n">
        <x:v>100.7964</x:v>
      </x:c>
      <x:c r="H162" s="17" t="n">
        <x:f>G162*F162</x:f>
        <x:v>302.3892</x:v>
      </x:c>
      <x:c r="I162" s="22" t="str">
        <x:f>HYPERLINK("https://etp-aktiv.ru/catalog/materialy/rezino-tekhnicheskie-izdeliya/2000698878-U312/","Открыть позицию")</x:f>
        <x:v>Открыть позицию</x:v>
      </x:c>
    </x:row>
    <x:row r="163" ht="28" customHeight="1">
      <x:c r="A163" s="16" t="str">
        <x:v>Кемеровская ТЭЦ</x:v>
      </x:c>
      <x:c r="B163" s="16" t="str">
        <x:v>2000004426-U312</x:v>
      </x:c>
      <x:c r="C163" s="16" t="str">
        <x:v>РУКАВ НИТ ОПЛ 25ММ 2,5МПА ГОСТ10362-76</x:v>
      </x:c>
      <x:c r="D163" s="16" t="str">
        <x:v>Резино-технические изделия проч специализирован и под заказ</x:v>
      </x:c>
      <x:c r="E163" s="16" t="str">
        <x:v>ПМ</x:v>
      </x:c>
      <x:c r="F163" s="21" t="n">
        <x:v>12</x:v>
      </x:c>
      <x:c r="G163" s="17" t="n">
        <x:v>233.325</x:v>
      </x:c>
      <x:c r="H163" s="17" t="n">
        <x:f>G163*F163</x:f>
        <x:v>2799.8999999999996</x:v>
      </x:c>
      <x:c r="I163" s="22" t="str">
        <x:f>HYPERLINK("https://etp-aktiv.ru/catalog/materialy/rezino-tekhnicheskie-izdeliya/2000004426-U312/","Открыть позицию")</x:f>
        <x:v>Открыть позицию</x:v>
      </x:c>
    </x:row>
    <x:row r="164" ht="28" customHeight="1">
      <x:c r="A164" s="16" t="str">
        <x:v>Кемеровская ТЭЦ</x:v>
      </x:c>
      <x:c r="B164" s="16" t="str">
        <x:v>2000546997-U312</x:v>
      </x:c>
      <x:c r="C164" s="16" t="str">
        <x:v>ТЕХПЛАСТИНА 10 2Ф-I ТМКЩ-С ГОСТ7338-90</x:v>
      </x:c>
      <x:c r="D164" s="16" t="str">
        <x:v>Резино-технические изделия прочие</x:v>
      </x:c>
      <x:c r="E164" s="16" t="str">
        <x:v>КГ</x:v>
      </x:c>
      <x:c r="F164" s="29" t="n">
        <x:v>8.4</x:v>
      </x:c>
      <x:c r="G164" s="17" t="n">
        <x:v>69.12519999999999</x:v>
      </x:c>
      <x:c r="H164" s="17" t="n">
        <x:f>G164*F164</x:f>
        <x:v>580.6516799999999</x:v>
      </x:c>
      <x:c r="I164" s="22" t="str">
        <x:f>HYPERLINK("https://etp-aktiv.ru/catalog/materialy/rezino-tekhnicheskie-izdeliya/2000546997-U312/","Открыть позицию")</x:f>
        <x:v>Открыть позицию</x:v>
      </x:c>
    </x:row>
    <x:row r="165" ht="28" customHeight="1">
      <x:c r="A165" s="16" t="str">
        <x:v>Кемеровская ТЭЦ</x:v>
      </x:c>
      <x:c r="B165" s="16" t="str">
        <x:v>2000547017-U312</x:v>
      </x:c>
      <x:c r="C165" s="16" t="str">
        <x:v>ТЕХПЛАСТИНА 10*1000*3000 УМ ГОСТ12855-77</x:v>
      </x:c>
      <x:c r="D165" s="16" t="str">
        <x:v>Резино-технические изделия прочие</x:v>
      </x:c>
      <x:c r="E165" s="16" t="str">
        <x:v>КГ</x:v>
      </x:c>
      <x:c r="F165" s="29" t="n">
        <x:v>36.06</x:v>
      </x:c>
      <x:c r="G165" s="17" t="n">
        <x:v>258.99379999999996</x:v>
      </x:c>
      <x:c r="H165" s="17" t="n">
        <x:f>G165*F165</x:f>
        <x:v>9339.316428</x:v>
      </x:c>
      <x:c r="I165" s="22" t="str">
        <x:f>HYPERLINK("https://etp-aktiv.ru/catalog/materialy/rezino-tekhnicheskie-izdeliya/2000547017-U312/","Открыть позицию")</x:f>
        <x:v>Открыть позицию</x:v>
      </x:c>
    </x:row>
    <x:row r="166" ht="28" customHeight="1">
      <x:c r="A166" s="16" t="str">
        <x:v>Кемеровская ТЭЦ</x:v>
      </x:c>
      <x:c r="B166" s="16" t="str">
        <x:v>2000547039-U312</x:v>
      </x:c>
      <x:c r="C166" s="16" t="str">
        <x:v>ТЕХПЛАСТИНА 3 1Н-I-МБС-С ГОСТ7338-90</x:v>
      </x:c>
      <x:c r="D166" s="16" t="str">
        <x:v>Резино-технические изделия прочие</x:v>
      </x:c>
      <x:c r="E166" s="16" t="str">
        <x:v>КГ</x:v>
      </x:c>
      <x:c r="F166" s="29" t="n">
        <x:v>25.4</x:v>
      </x:c>
      <x:c r="G166" s="17" t="n">
        <x:v>155.001</x:v>
      </x:c>
      <x:c r="H166" s="17" t="n">
        <x:f>G166*F166</x:f>
        <x:v>3937.0254</x:v>
      </x:c>
      <x:c r="I166" s="22" t="str">
        <x:f>HYPERLINK("https://etp-aktiv.ru/catalog/materialy/rezino-tekhnicheskie-izdeliya/2000547039-U312/","Открыть позицию")</x:f>
        <x:v>Открыть позицию</x:v>
      </x:c>
    </x:row>
    <x:row r="167" ht="28" customHeight="1">
      <x:c r="A167" s="16" t="str">
        <x:v>Кемеровская ТЭЦ</x:v>
      </x:c>
      <x:c r="B167" s="16" t="str">
        <x:v>2000546980-U312</x:v>
      </x:c>
      <x:c r="C167" s="16" t="str">
        <x:v>ТЕХПЛАСТИНА 3 2Н-1 МБС-С ГОСТ7338-90</x:v>
      </x:c>
      <x:c r="D167" s="16" t="str">
        <x:v>Резино-технические изделия прочие</x:v>
      </x:c>
      <x:c r="E167" s="16" t="str">
        <x:v>КГ</x:v>
      </x:c>
      <x:c r="F167" s="29" t="n">
        <x:v>2.7</x:v>
      </x:c>
      <x:c r="G167" s="17" t="n">
        <x:v>175.375</x:v>
      </x:c>
      <x:c r="H167" s="17" t="n">
        <x:f>G167*F167</x:f>
        <x:v>473.51250000000005</x:v>
      </x:c>
      <x:c r="I167" s="22" t="str">
        <x:f>HYPERLINK("https://etp-aktiv.ru/catalog/materialy/rezino-tekhnicheskie-izdeliya/2000546980-U312/","Открыть позицию")</x:f>
        <x:v>Открыть позицию</x:v>
      </x:c>
    </x:row>
    <x:row r="168" ht="28" customHeight="1">
      <x:c r="A168" s="16" t="str">
        <x:v>Кемеровская ТЭЦ</x:v>
      </x:c>
      <x:c r="B168" s="16" t="str">
        <x:v>2000167649-U312</x:v>
      </x:c>
      <x:c r="C168" s="16" t="str">
        <x:v>ТЕХПЛАСТИНА 3*830*1730 ТМКЩ ГОСТ7338-90</x:v>
      </x:c>
      <x:c r="D168" s="16" t="str">
        <x:v>Резино-технические изделия прочие</x:v>
      </x:c>
      <x:c r="E168" s="16" t="str">
        <x:v>КГ</x:v>
      </x:c>
      <x:c r="F168" s="30" t="n">
        <x:v>0.4</x:v>
      </x:c>
      <x:c r="G168" s="17" t="n">
        <x:v>75.945</x:v>
      </x:c>
      <x:c r="H168" s="17" t="n">
        <x:f>G168*F168</x:f>
        <x:v>30.378</x:v>
      </x:c>
      <x:c r="I168" s="22" t="str">
        <x:f>HYPERLINK("https://etp-aktiv.ru/catalog/materialy/rezino-tekhnicheskie-izdeliya/2000167649-U312/","Открыть позицию")</x:f>
        <x:v>Открыть позицию</x:v>
      </x:c>
    </x:row>
    <x:row r="169" ht="28" customHeight="1">
      <x:c r="A169" s="16" t="str">
        <x:v>Кемеровская ТЭЦ</x:v>
      </x:c>
      <x:c r="B169" s="16" t="str">
        <x:v>2000137435-U312</x:v>
      </x:c>
      <x:c r="C169" s="16" t="str">
        <x:v>ТЕХПЛАСТИНА 30*1000*1000 ТМКЩ ГОСТ7338</x:v>
      </x:c>
      <x:c r="D169" s="16" t="str">
        <x:v>Резино-технические изделия прочие</x:v>
      </x:c>
      <x:c r="E169" s="16" t="str">
        <x:v>КГ</x:v>
      </x:c>
      <x:c r="F169" s="29" t="n">
        <x:v>33.6</x:v>
      </x:c>
      <x:c r="G169" s="17" t="n">
        <x:v>73.1634</x:v>
      </x:c>
      <x:c r="H169" s="17" t="n">
        <x:f>G169*F169</x:f>
        <x:v>2458.29024</x:v>
      </x:c>
      <x:c r="I169" s="22" t="str">
        <x:f>HYPERLINK("https://etp-aktiv.ru/catalog/materialy/rezino-tekhnicheskie-izdeliya/2000137435-U312/","Открыть позицию")</x:f>
        <x:v>Открыть позицию</x:v>
      </x:c>
    </x:row>
    <x:row r="170" ht="28" customHeight="1">
      <x:c r="A170" s="16" t="str">
        <x:v>Кемеровская ТЭЦ</x:v>
      </x:c>
      <x:c r="B170" s="16" t="str">
        <x:v>2000145868-U312</x:v>
      </x:c>
      <x:c r="C170" s="16" t="str">
        <x:v>ТЕХПЛАСТИНА 3ММ МБС ГОСТ7338-90</x:v>
      </x:c>
      <x:c r="D170" s="16" t="str">
        <x:v>Резино-технические изделия прочие</x:v>
      </x:c>
      <x:c r="E170" s="16" t="str">
        <x:v>КГ</x:v>
      </x:c>
      <x:c r="F170" s="21" t="n">
        <x:v>2</x:v>
      </x:c>
      <x:c r="G170" s="17" t="n">
        <x:v>155.001</x:v>
      </x:c>
      <x:c r="H170" s="17" t="n">
        <x:f>G170*F170</x:f>
        <x:v>310.002</x:v>
      </x:c>
      <x:c r="I170" s="22" t="str">
        <x:f>HYPERLINK("https://etp-aktiv.ru/catalog/materialy/rezino-tekhnicheskie-izdeliya/2000145868-U312/","Открыть позицию")</x:f>
        <x:v>Открыть позицию</x:v>
      </x:c>
    </x:row>
    <x:row r="171" ht="28" customHeight="1">
      <x:c r="A171" s="16" t="str">
        <x:v>Кемеровская ТЭЦ</x:v>
      </x:c>
      <x:c r="B171" s="16" t="str">
        <x:v>2000547054-U312</x:v>
      </x:c>
      <x:c r="C171" s="16" t="str">
        <x:v>ТЕХПЛАСТИНА 4 2Н-1МБС-С ГОСТ7338-90</x:v>
      </x:c>
      <x:c r="D171" s="16" t="str">
        <x:v>Резино-технические изделия прочие</x:v>
      </x:c>
      <x:c r="E171" s="16" t="str">
        <x:v>КГ</x:v>
      </x:c>
      <x:c r="F171" s="29" t="n">
        <x:v>19.4</x:v>
      </x:c>
      <x:c r="G171" s="17" t="n">
        <x:v>155.001</x:v>
      </x:c>
      <x:c r="H171" s="17" t="n">
        <x:f>G171*F171</x:f>
        <x:v>3007.0193999999997</x:v>
      </x:c>
      <x:c r="I171" s="22" t="str">
        <x:f>HYPERLINK("https://etp-aktiv.ru/catalog/materialy/rezino-tekhnicheskie-izdeliya/2000547054-U312/","Открыть позицию")</x:f>
        <x:v>Открыть позицию</x:v>
      </x:c>
    </x:row>
    <x:row r="172" ht="28" customHeight="1">
      <x:c r="A172" s="16" t="str">
        <x:v>Кемеровская ТЭЦ</x:v>
      </x:c>
      <x:c r="B172" s="16" t="str">
        <x:v>2000547041-U312</x:v>
      </x:c>
      <x:c r="C172" s="16" t="str">
        <x:v>ТЕХПЛАСТИНА 5 1Н-I-МБС-С ГОСТ7338-90</x:v>
      </x:c>
      <x:c r="D172" s="16" t="str">
        <x:v>Резино-технические изделия прочие</x:v>
      </x:c>
      <x:c r="E172" s="16" t="str">
        <x:v>КГ</x:v>
      </x:c>
      <x:c r="F172" s="30" t="n">
        <x:v>0.47</x:v>
      </x:c>
      <x:c r="G172" s="17" t="n">
        <x:v>124.59859999999999</x:v>
      </x:c>
      <x:c r="H172" s="17" t="n">
        <x:f>G172*F172</x:f>
        <x:v>58.56134199999999</x:v>
      </x:c>
      <x:c r="I172" s="22" t="str">
        <x:f>HYPERLINK("https://etp-aktiv.ru/catalog/materialy/rezino-tekhnicheskie-izdeliya/2000547041-U312/","Открыть позицию")</x:f>
        <x:v>Открыть позицию</x:v>
      </x:c>
    </x:row>
    <x:row r="173" ht="28" customHeight="1">
      <x:c r="A173" s="16" t="str">
        <x:v>Кемеровская ТЭЦ</x:v>
      </x:c>
      <x:c r="B173" s="16" t="str">
        <x:v>2000133782-U312</x:v>
      </x:c>
      <x:c r="C173" s="16" t="str">
        <x:v>ШНУР МБС 4С D8ММ ГОСТ6467-79</x:v>
      </x:c>
      <x:c r="D173" s="16" t="str">
        <x:v>Резино-технические изделия прочие</x:v>
      </x:c>
      <x:c r="E173" s="16" t="str">
        <x:v>КГ</x:v>
      </x:c>
      <x:c r="F173" s="29" t="n">
        <x:v>1.5</x:v>
      </x:c>
      <x:c r="G173" s="17" t="n">
        <x:v>181.902</x:v>
      </x:c>
      <x:c r="H173" s="17" t="n">
        <x:f>G173*F173</x:f>
        <x:v>272.85299999999995</x:v>
      </x:c>
      <x:c r="I173" s="22" t="str">
        <x:f>HYPERLINK("https://etp-aktiv.ru/catalog/materialy/rezino-tekhnicheskie-izdeliya/2000133782-U312/","Открыть позицию")</x:f>
        <x:v>Открыть позицию</x:v>
      </x:c>
    </x:row>
    <x:row r="174" ht="28" customHeight="1">
      <x:c r="A174" s="16" t="str">
        <x:v>Кемеровская ТЭЦ</x:v>
      </x:c>
      <x:c r="B174" s="16" t="str">
        <x:v>2000561796-U312</x:v>
      </x:c>
      <x:c r="C174" s="16" t="str">
        <x:v>ШНУР РЕЗИНОВЫЙ 8,0 5Р-129 ТУ381051959-90</x:v>
      </x:c>
      <x:c r="D174" s="16" t="str">
        <x:v>Резино-технические изделия прочие</x:v>
      </x:c>
      <x:c r="E174" s="16" t="str">
        <x:v>КГ</x:v>
      </x:c>
      <x:c r="F174" s="29" t="n">
        <x:v>38.05</x:v>
      </x:c>
      <x:c r="G174" s="17" t="n">
        <x:v>2749.9532</x:v>
      </x:c>
      <x:c r="H174" s="17" t="n">
        <x:f>G174*F174</x:f>
        <x:v>104635.71925999998</x:v>
      </x:c>
      <x:c r="I174" s="22" t="str">
        <x:f>HYPERLINK("https://etp-aktiv.ru/catalog/materialy/rezino-tekhnicheskie-izdeliya/2000561796-U312/","Открыть позицию")</x:f>
        <x:v>Открыть позицию</x:v>
      </x:c>
    </x:row>
    <x:row r="175" ht="28" customHeight="1">
      <x:c r="A175" s="16" t="str">
        <x:v>Кемеровская ТЭЦ</x:v>
      </x:c>
      <x:c r="B175" s="16" t="str">
        <x:v>2000590456-U312</x:v>
      </x:c>
      <x:c r="C175" s="16" t="str">
        <x:v>ШНУР ШПРИЦ D10ММ 5Р-129 ТУ38.105.1165</x:v>
      </x:c>
      <x:c r="D175" s="16" t="str">
        <x:v>Резино-технические изделия прочие</x:v>
      </x:c>
      <x:c r="E175" s="16" t="str">
        <x:v>КГ</x:v>
      </x:c>
      <x:c r="F175" s="30" t="n">
        <x:v>0.2</x:v>
      </x:c>
      <x:c r="G175" s="17" t="n">
        <x:v>1737.7191999999998</x:v>
      </x:c>
      <x:c r="H175" s="17" t="n">
        <x:f>G175*F175</x:f>
        <x:v>347.54384</x:v>
      </x:c>
      <x:c r="I175" s="22" t="str">
        <x:f>HYPERLINK("https://etp-aktiv.ru/catalog/materialy/rezino-tekhnicheskie-izdeliya/2000590456-U312/","Открыть позицию")</x:f>
        <x:v>Открыть позицию</x:v>
      </x:c>
    </x:row>
    <x:row r="176" ht="28" customHeight="1">
      <x:c r="A176" s="16" t="str">
        <x:v>Кемеровская ТЭЦ</x:v>
      </x:c>
      <x:c r="B176" s="16" t="str">
        <x:v>2000639189-U312</x:v>
      </x:c>
      <x:c r="C176" s="16" t="str">
        <x:v>ШНУР ШПРИЦ D13ММ 5Р-129 ТУ38-1051165-90</x:v>
      </x:c>
      <x:c r="D176" s="16" t="str">
        <x:v>Резино-технические изделия прочие</x:v>
      </x:c>
      <x:c r="E176" s="16" t="str">
        <x:v>КГ</x:v>
      </x:c>
      <x:c r="F176" s="29" t="n">
        <x:v>3.35</x:v>
      </x:c>
      <x:c r="G176" s="17" t="n">
        <x:v>1674.6208000000001</x:v>
      </x:c>
      <x:c r="H176" s="17" t="n">
        <x:f>G176*F176</x:f>
        <x:v>5609.97968</x:v>
      </x:c>
      <x:c r="I176" s="22" t="str">
        <x:f>HYPERLINK("https://etp-aktiv.ru/catalog/materialy/rezino-tekhnicheskie-izdeliya/2000639189-U312/","Открыть позицию")</x:f>
        <x:v>Открыть позицию</x:v>
      </x:c>
    </x:row>
    <x:row r="177" ht="28" customHeight="1">
      <x:c r="A177" s="16" t="str">
        <x:v>Кемеровская теплосетевая компания</x:v>
      </x:c>
      <x:c r="B177" s="16" t="str">
        <x:v>2000143137-U121</x:v>
      </x:c>
      <x:c r="C177" s="16" t="str">
        <x:v>АСБЕСТ ХРИЗОТИЛОВЫЙ А-6К-30</x:v>
      </x:c>
      <x:c r="D177" s="16" t="str">
        <x:v>Асбо-технические изделия</x:v>
      </x:c>
      <x:c r="E177" s="16" t="str">
        <x:v>Т</x:v>
      </x:c>
      <x:c r="F177" s="30" t="n">
        <x:v>0.077</x:v>
      </x:c>
      <x:c r="G177" s="17" t="n">
        <x:v>46358.291999999994</x:v>
      </x:c>
      <x:c r="H177" s="17" t="n">
        <x:f>G177*F177</x:f>
        <x:v>3569.5884839999994</x:v>
      </x:c>
      <x:c r="I177" s="22" t="str">
        <x:f>HYPERLINK("https://etp-aktiv.ru/catalog/materialy/asbo-tekhnicheskie-izdeliya/2000143137-U121/","Открыть позицию")</x:f>
        <x:v>Открыть позицию</x:v>
      </x:c>
    </x:row>
    <x:row r="178" ht="28" customHeight="1">
      <x:c r="A178" s="16" t="str">
        <x:v>Кемеровская теплосетевая компания</x:v>
      </x:c>
      <x:c r="B178" s="16" t="str">
        <x:v>2000553786-U121</x:v>
      </x:c>
      <x:c r="C178" s="16" t="str">
        <x:v>ГЛИНА ОГНЕУПОРНАЯ ПГМС-23</x:v>
      </x:c>
      <x:c r="D178" s="16" t="str">
        <x:v>Огнеупорные материалы</x:v>
      </x:c>
      <x:c r="E178" s="16" t="str">
        <x:v>Т</x:v>
      </x:c>
      <x:c r="F178" s="29" t="n">
        <x:v>1.366</x:v>
      </x:c>
      <x:c r="G178" s="17" t="n">
        <x:v>12270.15</x:v>
      </x:c>
      <x:c r="H178" s="17" t="n">
        <x:f>G178*F178</x:f>
        <x:v>16761.0249</x:v>
      </x:c>
      <x:c r="I178" s="22" t="str">
        <x:f>HYPERLINK("https://etp-aktiv.ru/catalog/materialy/ogneupornye-materialy/2000553786-U121/","Открыть позицию")</x:f>
        <x:v>Открыть позицию</x:v>
      </x:c>
    </x:row>
    <x:row r="179" ht="28" customHeight="1">
      <x:c r="A179" s="16" t="str">
        <x:v>Кемеровская теплосетевая компания</x:v>
      </x:c>
      <x:c r="B179" s="16" t="str">
        <x:v>2000821604-U121</x:v>
      </x:c>
      <x:c r="C179" s="16" t="str">
        <x:v>ГРИБОК 18*150 Г-7У-1 ХВ</x:v>
      </x:c>
      <x:c r="D179" s="16" t="str">
        <x:v>Резино-технические изделия прочие</x:v>
      </x:c>
      <x:c r="E179" s="16" t="str">
        <x:v>ШТ</x:v>
      </x:c>
      <x:c r="F179" s="21" t="n">
        <x:v>4</x:v>
      </x:c>
      <x:c r="G179" s="17" t="n">
        <x:v>130.845</x:v>
      </x:c>
      <x:c r="H179" s="17" t="n">
        <x:f>G179*F179</x:f>
        <x:v>523.38</x:v>
      </x:c>
      <x:c r="I179" s="22" t="str">
        <x:f>HYPERLINK("https://etp-aktiv.ru/catalog/materialy/rezino-tekhnicheskie-izdeliya/2000821604-U121/","Открыть позицию")</x:f>
        <x:v>Открыть позицию</x:v>
      </x:c>
    </x:row>
    <x:row r="180" ht="28" customHeight="1">
      <x:c r="A180" s="16" t="str">
        <x:v>Кемеровская теплосетевая компания</x:v>
      </x:c>
      <x:c r="B180" s="16" t="str">
        <x:v>2000157671-U121</x:v>
      </x:c>
      <x:c r="C180" s="16" t="str">
        <x:v>НАБИВКА АП-31 10*10ММ</x:v>
      </x:c>
      <x:c r="D180" s="16" t="str">
        <x:v>Асбо-технические изделия</x:v>
      </x:c>
      <x:c r="E180" s="16" t="str">
        <x:v>КГ</x:v>
      </x:c>
      <x:c r="F180" s="29" t="n">
        <x:v>14.819</x:v>
      </x:c>
      <x:c r="G180" s="17" t="n">
        <x:v>257.725</x:v>
      </x:c>
      <x:c r="H180" s="17" t="n">
        <x:f>G180*F180</x:f>
        <x:v>3819.2267750000005</x:v>
      </x:c>
      <x:c r="I180" s="22" t="str">
        <x:f>HYPERLINK("https://etp-aktiv.ru/catalog/materialy/asbo-tekhnicheskie-izdeliya/2000157671-U121/","Открыть позицию")</x:f>
        <x:v>Открыть позицию</x:v>
      </x:c>
    </x:row>
    <x:row r="181" ht="28" customHeight="1">
      <x:c r="A181" s="16" t="str">
        <x:v>Кемеровская теплосетевая компания</x:v>
      </x:c>
      <x:c r="B181" s="16" t="str">
        <x:v>2000031501-U121</x:v>
      </x:c>
      <x:c r="C181" s="16" t="str">
        <x:v>НАБИВКА АП-31 10ММ</x:v>
      </x:c>
      <x:c r="D181" s="16" t="str">
        <x:v>Асбо-технические изделия</x:v>
      </x:c>
      <x:c r="E181" s="16" t="str">
        <x:v>КГ</x:v>
      </x:c>
      <x:c r="F181" s="29" t="n">
        <x:v>14.316</x:v>
      </x:c>
      <x:c r="G181" s="17" t="n">
        <x:v>104.371</x:v>
      </x:c>
      <x:c r="H181" s="17" t="n">
        <x:f>G181*F181</x:f>
        <x:v>1494.175236</x:v>
      </x:c>
      <x:c r="I181" s="22" t="str">
        <x:f>HYPERLINK("https://etp-aktiv.ru/catalog/materialy/asbo-tekhnicheskie-izdeliya/2000031501-U121/","Открыть позицию")</x:f>
        <x:v>Открыть позицию</x:v>
      </x:c>
    </x:row>
    <x:row r="182" ht="28" customHeight="1">
      <x:c r="A182" s="16" t="str">
        <x:v>Кемеровская теплосетевая компания</x:v>
      </x:c>
      <x:c r="B182" s="16" t="str">
        <x:v>2000031504-U121</x:v>
      </x:c>
      <x:c r="C182" s="16" t="str">
        <x:v>НАБИВКА АП-31 14ММ</x:v>
      </x:c>
      <x:c r="D182" s="16" t="str">
        <x:v>Асбо-технические изделия</x:v>
      </x:c>
      <x:c r="E182" s="16" t="str">
        <x:v>КГ</x:v>
      </x:c>
      <x:c r="F182" s="29" t="n">
        <x:v>12.3</x:v>
      </x:c>
      <x:c r="G182" s="17" t="n">
        <x:v>184.22</x:v>
      </x:c>
      <x:c r="H182" s="17" t="n">
        <x:f>G182*F182</x:f>
        <x:v>2265.906</x:v>
      </x:c>
      <x:c r="I182" s="22" t="str">
        <x:f>HYPERLINK("https://etp-aktiv.ru/catalog/materialy/asbo-tekhnicheskie-izdeliya/2000031504-U121/","Открыть позицию")</x:f>
        <x:v>Открыть позицию</x:v>
      </x:c>
    </x:row>
    <x:row r="183" ht="28" customHeight="1">
      <x:c r="A183" s="16" t="str">
        <x:v>Кемеровская теплосетевая компания</x:v>
      </x:c>
      <x:c r="B183" s="16" t="str">
        <x:v>2000157676-U121</x:v>
      </x:c>
      <x:c r="C183" s="16" t="str">
        <x:v>НАБИВКА АП-31 16*16ММ</x:v>
      </x:c>
      <x:c r="D183" s="16" t="str">
        <x:v>Асбо-технические изделия</x:v>
      </x:c>
      <x:c r="E183" s="16" t="str">
        <x:v>КГ</x:v>
      </x:c>
      <x:c r="F183" s="29" t="n">
        <x:v>45.7</x:v>
      </x:c>
      <x:c r="G183" s="17" t="n">
        <x:v>223.992</x:v>
      </x:c>
      <x:c r="H183" s="17" t="n">
        <x:f>G183*F183</x:f>
        <x:v>10236.4344</x:v>
      </x:c>
      <x:c r="I183" s="22" t="str">
        <x:f>HYPERLINK("https://etp-aktiv.ru/catalog/materialy/asbo-tekhnicheskie-izdeliya/2000157676-U121/","Открыть позицию")</x:f>
        <x:v>Открыть позицию</x:v>
      </x:c>
    </x:row>
    <x:row r="184" ht="28" customHeight="1">
      <x:c r="A184" s="16" t="str">
        <x:v>Кемеровская теплосетевая компания</x:v>
      </x:c>
      <x:c r="B184" s="16" t="str">
        <x:v>2000031505-U121</x:v>
      </x:c>
      <x:c r="C184" s="16" t="str">
        <x:v>НАБИВКА АП-31 16ММ</x:v>
      </x:c>
      <x:c r="D184" s="16" t="str">
        <x:v>Асбо-технические изделия</x:v>
      </x:c>
      <x:c r="E184" s="16" t="str">
        <x:v>КГ</x:v>
      </x:c>
      <x:c r="F184" s="29" t="n">
        <x:v>65.451</x:v>
      </x:c>
      <x:c r="G184" s="17" t="n">
        <x:v>216.2206</x:v>
      </x:c>
      <x:c r="H184" s="17" t="n">
        <x:f>G184*F184</x:f>
        <x:v>14151.854490599999</x:v>
      </x:c>
      <x:c r="I184" s="22" t="str">
        <x:f>HYPERLINK("https://etp-aktiv.ru/catalog/materialy/asbo-tekhnicheskie-izdeliya/2000031505-U121/","Открыть позицию")</x:f>
        <x:v>Открыть позицию</x:v>
      </x:c>
    </x:row>
    <x:row r="185" ht="28" customHeight="1">
      <x:c r="A185" s="16" t="str">
        <x:v>Кемеровская теплосетевая компания</x:v>
      </x:c>
      <x:c r="B185" s="16" t="str">
        <x:v>2000165063-U121</x:v>
      </x:c>
      <x:c r="C185" s="16" t="str">
        <x:v>НАБИВКА АП-31 25*25ММ</x:v>
      </x:c>
      <x:c r="D185" s="16" t="str">
        <x:v>Асбо-технические изделия</x:v>
      </x:c>
      <x:c r="E185" s="16" t="str">
        <x:v>КГ</x:v>
      </x:c>
      <x:c r="F185" s="29" t="n">
        <x:v>111.54</x:v>
      </x:c>
      <x:c r="G185" s="17" t="n">
        <x:v>335.5</x:v>
      </x:c>
      <x:c r="H185" s="17" t="n">
        <x:f>G185*F185</x:f>
        <x:v>37421.670000000006</x:v>
      </x:c>
      <x:c r="I185" s="22" t="str">
        <x:f>HYPERLINK("https://etp-aktiv.ru/catalog/materialy/asbo-tekhnicheskie-izdeliya/2000165063-U121/","Открыть позицию")</x:f>
        <x:v>Открыть позицию</x:v>
      </x:c>
    </x:row>
    <x:row r="186" ht="28" customHeight="1">
      <x:c r="A186" s="16" t="str">
        <x:v>Кемеровская теплосетевая компания</x:v>
      </x:c>
      <x:c r="B186" s="16" t="str">
        <x:v>2000031512-U121</x:v>
      </x:c>
      <x:c r="C186" s="16" t="str">
        <x:v>НАБИВКА АП-31 6ММ</x:v>
      </x:c>
      <x:c r="D186" s="16" t="str">
        <x:v>Асбо-технические изделия</x:v>
      </x:c>
      <x:c r="E186" s="16" t="str">
        <x:v>КГ</x:v>
      </x:c>
      <x:c r="F186" s="29" t="n">
        <x:v>5.715</x:v>
      </x:c>
      <x:c r="G186" s="17" t="n">
        <x:v>256.4928</x:v>
      </x:c>
      <x:c r="H186" s="17" t="n">
        <x:f>G186*F186</x:f>
        <x:v>1465.8563519999998</x:v>
      </x:c>
      <x:c r="I186" s="22" t="str">
        <x:f>HYPERLINK("https://etp-aktiv.ru/catalog/materialy/asbo-tekhnicheskie-izdeliya/2000031512-U121/","Открыть позицию")</x:f>
        <x:v>Открыть позицию</x:v>
      </x:c>
    </x:row>
    <x:row r="187" ht="28" customHeight="1">
      <x:c r="A187" s="16" t="str">
        <x:v>Кемеровская теплосетевая компания</x:v>
      </x:c>
      <x:c r="B187" s="16" t="str">
        <x:v>2000539210-U121</x:v>
      </x:c>
      <x:c r="C187" s="16" t="str">
        <x:v>НАБИВКА ВАТИ-320 10*10</x:v>
      </x:c>
      <x:c r="D187" s="16" t="str">
        <x:v>Асбо-технические изделия</x:v>
      </x:c>
      <x:c r="E187" s="16" t="str">
        <x:v>КГ</x:v>
      </x:c>
      <x:c r="F187" s="30" t="n">
        <x:v>0.56</x:v>
      </x:c>
      <x:c r="G187" s="17" t="n">
        <x:v>217.5382</x:v>
      </x:c>
      <x:c r="H187" s="17" t="n">
        <x:f>G187*F187</x:f>
        <x:v>121.821392</x:v>
      </x:c>
      <x:c r="I187" s="22" t="str">
        <x:f>HYPERLINK("https://etp-aktiv.ru/catalog/materialy/asbo-tekhnicheskie-izdeliya/2000539210-U121/","Открыть позицию")</x:f>
        <x:v>Открыть позицию</x:v>
      </x:c>
    </x:row>
    <x:row r="188" ht="28" customHeight="1">
      <x:c r="A188" s="16" t="str">
        <x:v>Кемеровская теплосетевая компания</x:v>
      </x:c>
      <x:c r="B188" s="16" t="str">
        <x:v>2000539213-U121</x:v>
      </x:c>
      <x:c r="C188" s="16" t="str">
        <x:v>НАБИВКА ВАТИ-320 8*8</x:v>
      </x:c>
      <x:c r="D188" s="16" t="str">
        <x:v>Асбо-технические изд</x:v>
      </x:c>
      <x:c r="E188" s="16" t="str">
        <x:v>КГ</x:v>
      </x:c>
      <x:c r="F188" s="29" t="n">
        <x:v>3.96</x:v>
      </x:c>
      <x:c r="G188" s="17" t="n">
        <x:v>397.3052</x:v>
      </x:c>
      <x:c r="H188" s="17" t="n">
        <x:f>G188*F188</x:f>
        <x:v>1573.328592</x:v>
      </x:c>
      <x:c r="I188" s="22" t="str">
        <x:f>HYPERLINK("https://etp-aktiv.ru/catalog/materialy/asbo-tekhnicheskie-izdeliya/2000539213-U121/","Открыть позицию")</x:f>
        <x:v>Открыть позицию</x:v>
      </x:c>
    </x:row>
    <x:row r="189" ht="28" customHeight="1">
      <x:c r="A189" s="16" t="str">
        <x:v>Кемеровская теплосетевая компания</x:v>
      </x:c>
      <x:c r="B189" s="16" t="str">
        <x:v>2000539173-U121</x:v>
      </x:c>
      <x:c r="C189" s="16" t="str">
        <x:v>НАБИВКА МНОГОСЛОЙНОЕ АП-31 22*22</x:v>
      </x:c>
      <x:c r="D189" s="16" t="str">
        <x:v>Асбо-технические изделия</x:v>
      </x:c>
      <x:c r="E189" s="16" t="str">
        <x:v>КГ</x:v>
      </x:c>
      <x:c r="F189" s="21" t="n">
        <x:v>65</x:v>
      </x:c>
      <x:c r="G189" s="17" t="n">
        <x:v>273.1092</x:v>
      </x:c>
      <x:c r="H189" s="17" t="n">
        <x:f>G189*F189</x:f>
        <x:v>17752.097999999998</x:v>
      </x:c>
      <x:c r="I189" s="22" t="str">
        <x:f>HYPERLINK("https://etp-aktiv.ru/catalog/materialy/asbo-tekhnicheskie-izdeliya/2000539173-U121/","Открыть позицию")</x:f>
        <x:v>Открыть позицию</x:v>
      </x:c>
    </x:row>
    <x:row r="190" ht="28" customHeight="1">
      <x:c r="A190" s="16" t="str">
        <x:v>Кемеровская теплосетевая компания</x:v>
      </x:c>
      <x:c r="B190" s="16" t="str">
        <x:v>2000586332-U121</x:v>
      </x:c>
      <x:c r="C190" s="16" t="str">
        <x:v>НАБИВКА САЛЬНИКОВАЯ АП-31 28*28ММ</x:v>
      </x:c>
      <x:c r="D190" s="16" t="str">
        <x:v>Асбо-технические изделия</x:v>
      </x:c>
      <x:c r="E190" s="16" t="str">
        <x:v>КГ</x:v>
      </x:c>
      <x:c r="F190" s="29" t="n">
        <x:v>97.9</x:v>
      </x:c>
      <x:c r="G190" s="17" t="n">
        <x:v>335.5</x:v>
      </x:c>
      <x:c r="H190" s="17" t="n">
        <x:f>G190*F190</x:f>
        <x:v>32845.450000000004</x:v>
      </x:c>
      <x:c r="I190" s="22" t="str">
        <x:f>HYPERLINK("https://etp-aktiv.ru/catalog/materialy/asbo-tekhnicheskie-izdeliya/2000586332-U121/","Открыть позицию")</x:f>
        <x:v>Открыть позицию</x:v>
      </x:c>
    </x:row>
    <x:row r="191" ht="28" customHeight="1">
      <x:c r="A191" s="16" t="str">
        <x:v>Кемеровская теплосетевая компания</x:v>
      </x:c>
      <x:c r="B191" s="16" t="str">
        <x:v>2000033112-U121</x:v>
      </x:c>
      <x:c r="C191" s="16" t="str">
        <x:v>ПАРОНИТ ПОН-Б 4ММ</x:v>
      </x:c>
      <x:c r="D191" s="16" t="str">
        <x:v>Асбо-технические изделия</x:v>
      </x:c>
      <x:c r="E191" s="16" t="str">
        <x:v>КГ</x:v>
      </x:c>
      <x:c r="F191" s="29" t="n">
        <x:v>4.9</x:v>
      </x:c>
      <x:c r="G191" s="17" t="n">
        <x:v>66.185</x:v>
      </x:c>
      <x:c r="H191" s="17" t="n">
        <x:f>G191*F191</x:f>
        <x:v>324.3065</x:v>
      </x:c>
      <x:c r="I191" s="22" t="str">
        <x:f>HYPERLINK("https://etp-aktiv.ru/catalog/materialy/asbo-tekhnicheskie-izdeliya/2000033112-U121/","Открыть позицию")</x:f>
        <x:v>Открыть позицию</x:v>
      </x:c>
    </x:row>
    <x:row r="192" ht="28" customHeight="1">
      <x:c r="A192" s="16" t="str">
        <x:v>Кемеровская теплосетевая компания</x:v>
      </x:c>
      <x:c r="B192" s="16" t="str">
        <x:v>2000085278-U121</x:v>
      </x:c>
      <x:c r="C192" s="16" t="str">
        <x:v>ПАРОНИТ ПОН-Б 6ММ</x:v>
      </x:c>
      <x:c r="D192" s="16" t="str">
        <x:v>Асбо-технические изделия</x:v>
      </x:c>
      <x:c r="E192" s="16" t="str">
        <x:v>КГ</x:v>
      </x:c>
      <x:c r="F192" s="29" t="n">
        <x:v>7.299</x:v>
      </x:c>
      <x:c r="G192" s="17" t="n">
        <x:v>80.5322</x:v>
      </x:c>
      <x:c r="H192" s="17" t="n">
        <x:f>G192*F192</x:f>
        <x:v>587.8045278000001</x:v>
      </x:c>
      <x:c r="I192" s="22" t="str">
        <x:f>HYPERLINK("https://etp-aktiv.ru/catalog/materialy/asbo-tekhnicheskie-izdeliya/2000085278-U121/","Открыть позицию")</x:f>
        <x:v>Открыть позицию</x:v>
      </x:c>
    </x:row>
    <x:row r="193" ht="28" customHeight="1">
      <x:c r="A193" s="16" t="str">
        <x:v>Кемеровская теплосетевая компания</x:v>
      </x:c>
      <x:c r="B193" s="16" t="str">
        <x:v>2000549011-U121</x:v>
      </x:c>
      <x:c r="C193" s="16" t="str">
        <x:v>ПЕНОПОЛИСТИРОЛ ППС10-Р-А 2000*1000*150</x:v>
      </x:c>
      <x:c r="D193" s="16" t="str">
        <x:v>Теплоизоляция</x:v>
      </x:c>
      <x:c r="E193" s="16" t="str">
        <x:v>М3</x:v>
      </x:c>
      <x:c r="F193" s="21" t="n">
        <x:v>1</x:v>
      </x:c>
      <x:c r="G193" s="17" t="n">
        <x:v>10980</x:v>
      </x:c>
      <x:c r="H193" s="17" t="n">
        <x:f>G193*F193</x:f>
        <x:v>10980</x:v>
      </x:c>
      <x:c r="I193" s="22" t="str">
        <x:f>HYPERLINK("https://etp-aktiv.ru/catalog/materialy/teploizolyaciya/2000549011-U121/","Открыть позицию")</x:f>
        <x:v>Открыть позицию</x:v>
      </x:c>
    </x:row>
    <x:row r="194" ht="28" customHeight="1">
      <x:c r="A194" s="16" t="str">
        <x:v>Кемеровская теплосетевая компания</x:v>
      </x:c>
      <x:c r="B194" s="16" t="str">
        <x:v>2000539305-U121</x:v>
      </x:c>
      <x:c r="C194" s="16" t="str">
        <x:v>ПРОКЛАДКА А ПОН 80-16</x:v>
      </x:c>
      <x:c r="D194" s="16" t="str">
        <x:v>Асбо-технические изделия</x:v>
      </x:c>
      <x:c r="E194" s="16" t="str">
        <x:v>ШТ</x:v>
      </x:c>
      <x:c r="F194" s="21" t="n">
        <x:v>1</x:v>
      </x:c>
      <x:c r="G194" s="17" t="n">
        <x:v>24.5586</x:v>
      </x:c>
      <x:c r="H194" s="17" t="n">
        <x:f>G194*F194</x:f>
        <x:v>24.5586</x:v>
      </x:c>
      <x:c r="I194" s="22" t="str">
        <x:f>HYPERLINK("https://etp-aktiv.ru/catalog/materialy/asbo-tekhnicheskie-izdeliya/2000539305-U121/","Открыть позицию")</x:f>
        <x:v>Открыть позицию</x:v>
      </x:c>
    </x:row>
    <x:row r="195" ht="28" customHeight="1">
      <x:c r="A195" s="16" t="str">
        <x:v>Кемеровская теплосетевая компания</x:v>
      </x:c>
      <x:c r="B195" s="16" t="str">
        <x:v>2000539309-U121</x:v>
      </x:c>
      <x:c r="C195" s="16" t="str">
        <x:v>ПРОКЛАДКА Б ПОН 200-16</x:v>
      </x:c>
      <x:c r="D195" s="16" t="str">
        <x:v>Асбо-технические изделия</x:v>
      </x:c>
      <x:c r="E195" s="16" t="str">
        <x:v>ШТ</x:v>
      </x:c>
      <x:c r="F195" s="21" t="n">
        <x:v>6</x:v>
      </x:c>
      <x:c r="G195" s="17" t="n">
        <x:v>75.3716</x:v>
      </x:c>
      <x:c r="H195" s="17" t="n">
        <x:f>G195*F195</x:f>
        <x:v>452.2296</x:v>
      </x:c>
      <x:c r="I195" s="22" t="str">
        <x:f>HYPERLINK("https://etp-aktiv.ru/catalog/materialy/asbo-tekhnicheskie-izdeliya/2000539309-U121/","Открыть позицию")</x:f>
        <x:v>Открыть позицию</x:v>
      </x:c>
    </x:row>
    <x:row r="196" ht="28" customHeight="1">
      <x:c r="A196" s="16" t="str">
        <x:v>Кемеровская теплосетевая компания</x:v>
      </x:c>
      <x:c r="B196" s="16" t="str">
        <x:v>2000354897-U121</x:v>
      </x:c>
      <x:c r="C196" s="16" t="str">
        <x:v>ПРОКЛАДКА ПОН А-50-16</x:v>
      </x:c>
      <x:c r="D196" s="16" t="str">
        <x:v>Асбо-технические изделия</x:v>
      </x:c>
      <x:c r="E196" s="16" t="str">
        <x:v>ШТ</x:v>
      </x:c>
      <x:c r="F196" s="21" t="n">
        <x:v>2</x:v>
      </x:c>
      <x:c r="G196" s="17" t="n">
        <x:v>8.2838</x:v>
      </x:c>
      <x:c r="H196" s="17" t="n">
        <x:f>G196*F196</x:f>
        <x:v>16.5676</x:v>
      </x:c>
      <x:c r="I196" s="22" t="str">
        <x:f>HYPERLINK("https://etp-aktiv.ru/catalog/materialy/asbo-tekhnicheskie-izdeliya/2000354897-U121/","Открыть позицию")</x:f>
        <x:v>Открыть позицию</x:v>
      </x:c>
    </x:row>
    <x:row r="197" ht="28" customHeight="1">
      <x:c r="A197" s="16" t="str">
        <x:v>Кемеровская теплосетевая компания</x:v>
      </x:c>
      <x:c r="B197" s="16" t="str">
        <x:v>2000354898-U121</x:v>
      </x:c>
      <x:c r="C197" s="16" t="str">
        <x:v>ПРОКЛАДКА ПОН А-65-16</x:v>
      </x:c>
      <x:c r="D197" s="16" t="str">
        <x:v>Асбо-технические изделия</x:v>
      </x:c>
      <x:c r="E197" s="16" t="str">
        <x:v>ШТ</x:v>
      </x:c>
      <x:c r="F197" s="21" t="n">
        <x:v>12</x:v>
      </x:c>
      <x:c r="G197" s="17" t="n">
        <x:v>14.64</x:v>
      </x:c>
      <x:c r="H197" s="17" t="n">
        <x:f>G197*F197</x:f>
        <x:v>175.68</x:v>
      </x:c>
      <x:c r="I197" s="22" t="str">
        <x:f>HYPERLINK("https://etp-aktiv.ru/catalog/materialy/asbo-tekhnicheskie-izdeliya/2000354898-U121/","Открыть позицию")</x:f>
        <x:v>Открыть позицию</x:v>
      </x:c>
    </x:row>
    <x:row r="198" ht="28" customHeight="1">
      <x:c r="A198" s="16" t="str">
        <x:v>Кемеровская теплосетевая компания</x:v>
      </x:c>
      <x:c r="B198" s="16" t="str">
        <x:v>2000279672-U121</x:v>
      </x:c>
      <x:c r="C198" s="16" t="str">
        <x:v>ПРОКЛАДКА ПОН-А 150*16ММ</x:v>
      </x:c>
      <x:c r="D198" s="16" t="str">
        <x:v>Асбо-технические изделия</x:v>
      </x:c>
      <x:c r="E198" s="16" t="str">
        <x:v>ШТ</x:v>
      </x:c>
      <x:c r="F198" s="21" t="n">
        <x:v>50</x:v>
      </x:c>
      <x:c r="G198" s="17" t="n">
        <x:v>31.0002</x:v>
      </x:c>
      <x:c r="H198" s="17" t="n">
        <x:f>G198*F198</x:f>
        <x:v>1550.01</x:v>
      </x:c>
      <x:c r="I198" s="22" t="str">
        <x:f>HYPERLINK("https://etp-aktiv.ru/catalog/materialy/asbo-tekhnicheskie-izdeliya/2000279672-U121/","Открыть позицию")</x:f>
        <x:v>Открыть позицию</x:v>
      </x:c>
    </x:row>
    <x:row r="199" ht="28" customHeight="1">
      <x:c r="A199" s="16" t="str">
        <x:v>Кемеровская теплосетевая компания</x:v>
      </x:c>
      <x:c r="B199" s="16" t="str">
        <x:v>2000080834-U121</x:v>
      </x:c>
      <x:c r="C199" s="16" t="str">
        <x:v>ПРОКЛАДКА ПОН-Б А-100 4ММ</x:v>
      </x:c>
      <x:c r="D199" s="16" t="str">
        <x:v>Асбо-технические изделия</x:v>
      </x:c>
      <x:c r="E199" s="16" t="str">
        <x:v>ШТ</x:v>
      </x:c>
      <x:c r="F199" s="21" t="n">
        <x:v>47</x:v>
      </x:c>
      <x:c r="G199" s="17" t="n">
        <x:v>55.009800000000006</x:v>
      </x:c>
      <x:c r="H199" s="17" t="n">
        <x:f>G199*F199</x:f>
        <x:v>2585.4606000000003</x:v>
      </x:c>
      <x:c r="I199" s="22" t="str">
        <x:f>HYPERLINK("https://etp-aktiv.ru/catalog/materialy/asbo-tekhnicheskie-izdeliya/2000080834-U121/","Открыть позицию")</x:f>
        <x:v>Открыть позицию</x:v>
      </x:c>
    </x:row>
    <x:row r="200" ht="28" customHeight="1">
      <x:c r="A200" s="16" t="str">
        <x:v>Кемеровская теплосетевая компания</x:v>
      </x:c>
      <x:c r="B200" s="16" t="str">
        <x:v>2000001811-U121</x:v>
      </x:c>
      <x:c r="C200" s="16" t="str">
        <x:v>РЕМЕНЬ ВЕНТИЛЯТОРА 1-8,5*8-1280</x:v>
      </x:c>
      <x:c r="D200" s="16" t="str">
        <x:v>Резино-технические изделия прочие</x:v>
      </x:c>
      <x:c r="E200" s="16" t="str">
        <x:v>ШТ</x:v>
      </x:c>
      <x:c r="F200" s="21" t="n">
        <x:v>2</x:v>
      </x:c>
      <x:c r="G200" s="17" t="n">
        <x:v>41.7362</x:v>
      </x:c>
      <x:c r="H200" s="17" t="n">
        <x:f>G200*F200</x:f>
        <x:v>83.4724</x:v>
      </x:c>
      <x:c r="I200" s="22" t="str">
        <x:f>HYPERLINK("https://etp-aktiv.ru/catalog/materialy/rezino-tekhnicheskie-izdeliya/2000001811-U121/","Открыть позицию")</x:f>
        <x:v>Открыть позицию</x:v>
      </x:c>
    </x:row>
    <x:row r="201" ht="28" customHeight="1">
      <x:c r="A201" s="16" t="str">
        <x:v>Кемеровская теплосетевая компания</x:v>
      </x:c>
      <x:c r="B201" s="16" t="str">
        <x:v>2000547212-U121</x:v>
      </x:c>
      <x:c r="C201" s="16" t="str">
        <x:v>РУКАВ III-6,3-2,0 ГОСТ9356-75</x:v>
      </x:c>
      <x:c r="D201" s="16" t="str">
        <x:v>Резино-технические изделия прочие</x:v>
      </x:c>
      <x:c r="E201" s="16" t="str">
        <x:v>ПМ</x:v>
      </x:c>
      <x:c r="F201" s="29" t="n">
        <x:v>127.9</x:v>
      </x:c>
      <x:c r="G201" s="17" t="n">
        <x:v>30.5854</x:v>
      </x:c>
      <x:c r="H201" s="17" t="n">
        <x:f>G201*F201</x:f>
        <x:v>3911.87266</x:v>
      </x:c>
      <x:c r="I201" s="22" t="str">
        <x:f>HYPERLINK("https://etp-aktiv.ru/catalog/materialy/rezino-tekhnicheskie-izdeliya/2000547212-U121/","Открыть позицию")</x:f>
        <x:v>Открыть позицию</x:v>
      </x:c>
    </x:row>
    <x:row r="202" ht="28" customHeight="1">
      <x:c r="A202" s="16" t="str">
        <x:v>Кемеровская теплосетевая компания</x:v>
      </x:c>
      <x:c r="B202" s="16" t="str">
        <x:v>2000004109-U121</x:v>
      </x:c>
      <x:c r="C202" s="16" t="str">
        <x:v>РУКАВ ДЮРИТОВЫЙ D20 P7 ТУ0056016-87</x:v>
      </x:c>
      <x:c r="D202" s="16" t="str">
        <x:v>Резино-технические изделия прочие</x:v>
      </x:c>
      <x:c r="E202" s="16" t="str">
        <x:v>ПМ</x:v>
      </x:c>
      <x:c r="F202" s="21" t="n">
        <x:v>10</x:v>
      </x:c>
      <x:c r="G202" s="17" t="n">
        <x:v>252.9304</x:v>
      </x:c>
      <x:c r="H202" s="17" t="n">
        <x:f>G202*F202</x:f>
        <x:v>2529.304</x:v>
      </x:c>
      <x:c r="I202" s="22" t="str">
        <x:f>HYPERLINK("https://etp-aktiv.ru/catalog/materialy/rezino-tekhnicheskie-izdeliya/2000004109-U121/","Открыть позицию")</x:f>
        <x:v>Открыть позицию</x:v>
      </x:c>
    </x:row>
    <x:row r="203" ht="28" customHeight="1">
      <x:c r="A203" s="16" t="str">
        <x:v>Кемеровская теплосетевая компания</x:v>
      </x:c>
      <x:c r="B203" s="16" t="str">
        <x:v>2000046186-U121</x:v>
      </x:c>
      <x:c r="C203" s="16" t="str">
        <x:v>ШНУР АСБЕСТ ШАОН 20ММ</x:v>
      </x:c>
      <x:c r="D203" s="16" t="str">
        <x:v>Асбо-технические изделия</x:v>
      </x:c>
      <x:c r="E203" s="16" t="str">
        <x:v>КГ</x:v>
      </x:c>
      <x:c r="F203" s="21" t="n">
        <x:v>10</x:v>
      </x:c>
      <x:c r="G203" s="17" t="n">
        <x:v>69.3448</x:v>
      </x:c>
      <x:c r="H203" s="17" t="n">
        <x:f>G203*F203</x:f>
        <x:v>693.4480000000001</x:v>
      </x:c>
      <x:c r="I203" s="22" t="str">
        <x:f>HYPERLINK("https://etp-aktiv.ru/catalog/materialy/asbo-tekhnicheskie-izdeliya/2000046186-U121/","Открыть позицию")</x:f>
        <x:v>Открыть позицию</x:v>
      </x:c>
    </x:row>
    <x:row r="204" ht="28" customHeight="1">
      <x:c r="A204" s="16" t="str">
        <x:v>Ново-Кемеровская ТЭЦ</x:v>
      </x:c>
      <x:c r="B204" s="16" t="str">
        <x:v>2000563538-U411</x:v>
      </x:c>
      <x:c r="C204" s="16" t="str">
        <x:v>ВОЙЛОК ТЕХНИЧЕСКИЙ Т/Ш 8ММ</x:v>
      </x:c>
      <x:c r="D204" s="16" t="str">
        <x:v>Теплоизоляция</x:v>
      </x:c>
      <x:c r="E204" s="16" t="str">
        <x:v>КГ</x:v>
      </x:c>
      <x:c r="F204" s="21" t="n">
        <x:v>28</x:v>
      </x:c>
      <x:c r="G204" s="17" t="n">
        <x:v>336.2686</x:v>
      </x:c>
      <x:c r="H204" s="17" t="n">
        <x:f>G204*F204</x:f>
        <x:v>9415.5208</x:v>
      </x:c>
      <x:c r="I204" s="22" t="str">
        <x:f>HYPERLINK("https://etp-aktiv.ru/catalog/materialy/teploizolyaciya/2000563538-U411/","Открыть позицию")</x:f>
        <x:v>Открыть позицию</x:v>
      </x:c>
    </x:row>
    <x:row r="205" ht="28" customHeight="1">
      <x:c r="A205" s="16" t="str">
        <x:v>Ново-Кемеровская ТЭЦ</x:v>
      </x:c>
      <x:c r="B205" s="16" t="str">
        <x:v>2000254347-U411</x:v>
      </x:c>
      <x:c r="C205" s="16" t="str">
        <x:v>ЖГУТ ФТОРОП ФУМ-В 10*10ММ</x:v>
      </x:c>
      <x:c r="D205" s="16" t="str">
        <x:v>Асбо-технические изделия</x:v>
      </x:c>
      <x:c r="E205" s="16" t="str">
        <x:v>КГ</x:v>
      </x:c>
      <x:c r="F205" s="21" t="n">
        <x:v>5</x:v>
      </x:c>
      <x:c r="G205" s="17" t="n">
        <x:v>1128.9514</x:v>
      </x:c>
      <x:c r="H205" s="17" t="n">
        <x:f>G205*F205</x:f>
        <x:v>5644.757</x:v>
      </x:c>
      <x:c r="I205" s="22" t="str">
        <x:f>HYPERLINK("https://etp-aktiv.ru/catalog/materialy/asbo-tekhnicheskie-izdeliya/2000254347-U411/","Открыть позицию")</x:f>
        <x:v>Открыть позицию</x:v>
      </x:c>
    </x:row>
    <x:row r="206" ht="28" customHeight="1">
      <x:c r="A206" s="16" t="str">
        <x:v>Ново-Кемеровская ТЭЦ</x:v>
      </x:c>
      <x:c r="B206" s="16" t="str">
        <x:v>2000003779-U411</x:v>
      </x:c>
      <x:c r="C206" s="16" t="str">
        <x:v>КЛЕЙ 88 СА ТУ38105-1760-89</x:v>
      </x:c>
      <x:c r="D206" s="16" t="str">
        <x:v>Резино-технические изделия прочие</x:v>
      </x:c>
      <x:c r="E206" s="16" t="str">
        <x:v>КГ</x:v>
      </x:c>
      <x:c r="F206" s="21" t="n">
        <x:v>100</x:v>
      </x:c>
      <x:c r="G206" s="17" t="n">
        <x:v>323.10479999999995</x:v>
      </x:c>
      <x:c r="H206" s="17" t="n">
        <x:f>G206*F206</x:f>
        <x:v>32310.479999999996</x:v>
      </x:c>
      <x:c r="I206" s="22" t="str">
        <x:f>HYPERLINK("https://etp-aktiv.ru/catalog/materialy/rezino-tekhnicheskie-izdeliya/2000003779-U411/","Открыть позицию")</x:f>
        <x:v>Открыть позицию</x:v>
      </x:c>
    </x:row>
    <x:row r="207" ht="28" customHeight="1">
      <x:c r="A207" s="16" t="str">
        <x:v>Ново-Кемеровская ТЭЦ</x:v>
      </x:c>
      <x:c r="B207" s="16" t="str">
        <x:v>2000538924-U411</x:v>
      </x:c>
      <x:c r="C207" s="16" t="str">
        <x:v>КМП КОЛЕЦ 2ШТ К-04П КГФ-Г 300*270*15</x:v>
      </x:c>
      <x:c r="D207" s="16" t="str">
        <x:v>Асбо-технические изделия</x:v>
      </x:c>
      <x:c r="E207" s="16" t="str">
        <x:v>ШТ</x:v>
      </x:c>
      <x:c r="F207" s="21" t="n">
        <x:v>35</x:v>
      </x:c>
      <x:c r="G207" s="17" t="n">
        <x:v>453.0104</x:v>
      </x:c>
      <x:c r="H207" s="17" t="n">
        <x:f>G207*F207</x:f>
        <x:v>15855.364</x:v>
      </x:c>
      <x:c r="I207" s="22" t="str">
        <x:f>HYPERLINK("https://etp-aktiv.ru/catalog/materialy/asbo-tekhnicheskie-izdeliya/2000538924-U411/","Открыть позицию")</x:f>
        <x:v>Открыть позицию</x:v>
      </x:c>
    </x:row>
    <x:row r="208" ht="28" customHeight="1">
      <x:c r="A208" s="16" t="str">
        <x:v>Ново-Кемеровская ТЭЦ</x:v>
      </x:c>
      <x:c r="B208" s="16" t="str">
        <x:v>2000538964-U411</x:v>
      </x:c>
      <x:c r="C208" s="16" t="str">
        <x:v>КМП КОЛЕЦ 2ШТ КП-04 170*145*30 ГФ-2</x:v>
      </x:c>
      <x:c r="D208" s="16" t="str">
        <x:v>Асбо-технические изделия</x:v>
      </x:c>
      <x:c r="E208" s="16" t="str">
        <x:v>КМП</x:v>
      </x:c>
      <x:c r="F208" s="21" t="n">
        <x:v>126</x:v>
      </x:c>
      <x:c r="G208" s="17" t="n">
        <x:v>174.0086</x:v>
      </x:c>
      <x:c r="H208" s="17" t="n">
        <x:f>G208*F208</x:f>
        <x:v>21925.0836</x:v>
      </x:c>
      <x:c r="I208" s="22" t="str">
        <x:f>HYPERLINK("https://etp-aktiv.ru/catalog/materialy/asbo-tekhnicheskie-izdeliya/2000538964-U411/","Открыть позицию")</x:f>
        <x:v>Открыть позицию</x:v>
      </x:c>
    </x:row>
    <x:row r="209" ht="28" customHeight="1">
      <x:c r="A209" s="16" t="str">
        <x:v>Ново-Кемеровская ТЭЦ</x:v>
      </x:c>
      <x:c r="B209" s="16" t="str">
        <x:v>2000538972-U411</x:v>
      </x:c>
      <x:c r="C209" s="16" t="str">
        <x:v>КМП КОЛЕЦ 2ШТ КШ-03-2*4-62*36*78-ГФ-2</x:v>
      </x:c>
      <x:c r="D209" s="16" t="str">
        <x:v>Асбо-технические изделия</x:v>
      </x:c>
      <x:c r="E209" s="16" t="str">
        <x:v>КМП</x:v>
      </x:c>
      <x:c r="F209" s="21" t="n">
        <x:v>95</x:v>
      </x:c>
      <x:c r="G209" s="17" t="n">
        <x:v>127.246</x:v>
      </x:c>
      <x:c r="H209" s="17" t="n">
        <x:f>G209*F209</x:f>
        <x:v>12088.369999999999</x:v>
      </x:c>
      <x:c r="I209" s="22" t="str">
        <x:f>HYPERLINK("https://etp-aktiv.ru/catalog/materialy/asbo-tekhnicheskie-izdeliya/2000538972-U411/","Открыть позицию")</x:f>
        <x:v>Открыть позицию</x:v>
      </x:c>
    </x:row>
    <x:row r="210" ht="28" customHeight="1">
      <x:c r="A210" s="16" t="str">
        <x:v>Ново-Кемеровская ТЭЦ</x:v>
      </x:c>
      <x:c r="B210" s="16" t="str">
        <x:v>2000538974-U411</x:v>
      </x:c>
      <x:c r="C210" s="16" t="str">
        <x:v>КМП КОЛЕЦ 2ШТ КШ-03-2*4-78*52*78-ГФ-2</x:v>
      </x:c>
      <x:c r="D210" s="16" t="str">
        <x:v>Асбо-технические изделия</x:v>
      </x:c>
      <x:c r="E210" s="16" t="str">
        <x:v>КМП</x:v>
      </x:c>
      <x:c r="F210" s="21" t="n">
        <x:v>7</x:v>
      </x:c>
      <x:c r="G210" s="17" t="n">
        <x:v>163.1384</x:v>
      </x:c>
      <x:c r="H210" s="17" t="n">
        <x:f>G210*F210</x:f>
        <x:v>1141.9687999999999</x:v>
      </x:c>
      <x:c r="I210" s="22" t="str">
        <x:f>HYPERLINK("https://etp-aktiv.ru/catalog/materialy/asbo-tekhnicheskie-izdeliya/2000538974-U411/","Открыть позицию")</x:f>
        <x:v>Открыть позицию</x:v>
      </x:c>
    </x:row>
    <x:row r="211" ht="28" customHeight="1">
      <x:c r="A211" s="16" t="str">
        <x:v>Ново-Кемеровская ТЭЦ</x:v>
      </x:c>
      <x:c r="B211" s="16" t="str">
        <x:v>2000539060-U411</x:v>
      </x:c>
      <x:c r="C211" s="16" t="str">
        <x:v>КМП КОЛЕЦ 5ШТ К-04П КГФ-Г ГФ2 250*210*40</x:v>
      </x:c>
      <x:c r="D211" s="16" t="str">
        <x:v>Асбо-технические изделия</x:v>
      </x:c>
      <x:c r="E211" s="16" t="str">
        <x:v>КМП</x:v>
      </x:c>
      <x:c r="F211" s="21" t="n">
        <x:v>1</x:v>
      </x:c>
      <x:c r="G211" s="17" t="n">
        <x:v>417.3864</x:v>
      </x:c>
      <x:c r="H211" s="17" t="n">
        <x:f>G211*F211</x:f>
        <x:v>417.3864</x:v>
      </x:c>
      <x:c r="I211" s="22" t="str">
        <x:f>HYPERLINK("https://etp-aktiv.ru/catalog/materialy/asbo-tekhnicheskie-izdeliya/2000539060-U411/","Открыть позицию")</x:f>
        <x:v>Открыть позицию</x:v>
      </x:c>
    </x:row>
    <x:row r="212" ht="28" customHeight="1">
      <x:c r="A212" s="16" t="str">
        <x:v>Ново-Кемеровская ТЭЦ</x:v>
      </x:c>
      <x:c r="B212" s="16" t="str">
        <x:v>2000539078-U411</x:v>
      </x:c>
      <x:c r="C212" s="16" t="str">
        <x:v>КМП КОЛЕЦ К-03Ш КГФ-Г 2*4-86*60*78</x:v>
      </x:c>
      <x:c r="D212" s="16" t="str">
        <x:v>Асбо-технические изделия</x:v>
      </x:c>
      <x:c r="E212" s="16" t="str">
        <x:v>КМП</x:v>
      </x:c>
      <x:c r="F212" s="21" t="n">
        <x:v>27</x:v>
      </x:c>
      <x:c r="G212" s="17" t="n">
        <x:v>278.6968</x:v>
      </x:c>
      <x:c r="H212" s="17" t="n">
        <x:f>G212*F212</x:f>
        <x:v>7524.8135999999995</x:v>
      </x:c>
      <x:c r="I212" s="22" t="str">
        <x:f>HYPERLINK("https://etp-aktiv.ru/catalog/materialy/asbo-tekhnicheskie-izdeliya/2000539078-U411/","Открыть позицию")</x:f>
        <x:v>Открыть позицию</x:v>
      </x:c>
    </x:row>
    <x:row r="213" ht="28" customHeight="1">
      <x:c r="A213" s="16" t="str">
        <x:v>Ново-Кемеровская ТЭЦ</x:v>
      </x:c>
      <x:c r="B213" s="16" t="str">
        <x:v>2000539083-U411</x:v>
      </x:c>
      <x:c r="C213" s="16" t="str">
        <x:v>КМП КОЛЕЦ КГФ-Г К-04Ш 2*4-78*52*78</x:v>
      </x:c>
      <x:c r="D213" s="16" t="str">
        <x:v>Асбо-технические изделия</x:v>
      </x:c>
      <x:c r="E213" s="16" t="str">
        <x:v>КМП</x:v>
      </x:c>
      <x:c r="F213" s="21" t="n">
        <x:v>1</x:v>
      </x:c>
      <x:c r="G213" s="17" t="n">
        <x:v>208.13199999999998</x:v>
      </x:c>
      <x:c r="H213" s="17" t="n">
        <x:f>G213*F213</x:f>
        <x:v>208.13199999999998</x:v>
      </x:c>
      <x:c r="I213" s="22" t="str">
        <x:f>HYPERLINK("https://etp-aktiv.ru/catalog/materialy/asbo-tekhnicheskie-izdeliya/2000539083-U411/","Открыть позицию")</x:f>
        <x:v>Открыть позицию</x:v>
      </x:c>
    </x:row>
    <x:row r="214" ht="28" customHeight="1">
      <x:c r="A214" s="16" t="str">
        <x:v>Ново-Кемеровская ТЭЦ</x:v>
      </x:c>
      <x:c r="B214" s="16" t="str">
        <x:v>2000539089-U411</x:v>
      </x:c>
      <x:c r="C214" s="16" t="str">
        <x:v>КМП КОЛЕЦ КГФ-К-03Ш КГФ-Г 2*4-36*24*36</x:v>
      </x:c>
      <x:c r="D214" s="16" t="str">
        <x:v>Асбо-технические изделия</x:v>
      </x:c>
      <x:c r="E214" s="16" t="str">
        <x:v>КМП</x:v>
      </x:c>
      <x:c r="F214" s="21" t="n">
        <x:v>35</x:v>
      </x:c>
      <x:c r="G214" s="17" t="n">
        <x:v>47.0066</x:v>
      </x:c>
      <x:c r="H214" s="17" t="n">
        <x:f>G214*F214</x:f>
        <x:v>1645.231</x:v>
      </x:c>
      <x:c r="I214" s="22" t="str">
        <x:f>HYPERLINK("https://etp-aktiv.ru/catalog/materialy/asbo-tekhnicheskie-izdeliya/2000539089-U411/","Открыть позицию")</x:f>
        <x:v>Открыть позицию</x:v>
      </x:c>
    </x:row>
    <x:row r="215" ht="28" customHeight="1">
      <x:c r="A215" s="16" t="str">
        <x:v>Ново-Кемеровская ТЭЦ</x:v>
      </x:c>
      <x:c r="B215" s="16" t="str">
        <x:v>2000539090-U411</x:v>
      </x:c>
      <x:c r="C215" s="16" t="str">
        <x:v>КМП КОЛЕЦ КГФ-К-03Ш КГФ-Г 2*4-52*36*48</x:v>
      </x:c>
      <x:c r="D215" s="16" t="str">
        <x:v>Асбо-технические изделия</x:v>
      </x:c>
      <x:c r="E215" s="16" t="str">
        <x:v>КМП</x:v>
      </x:c>
      <x:c r="F215" s="21" t="n">
        <x:v>2</x:v>
      </x:c>
      <x:c r="G215" s="17" t="n">
        <x:v>47.909400000000005</x:v>
      </x:c>
      <x:c r="H215" s="17" t="n">
        <x:f>G215*F215</x:f>
        <x:v>95.81880000000001</x:v>
      </x:c>
      <x:c r="I215" s="22" t="str">
        <x:f>HYPERLINK("https://etp-aktiv.ru/catalog/materialy/asbo-tekhnicheskie-izdeliya/2000539090-U411/","Открыть позицию")</x:f>
        <x:v>Открыть позицию</x:v>
      </x:c>
    </x:row>
    <x:row r="216" ht="28" customHeight="1">
      <x:c r="A216" s="16" t="str">
        <x:v>Ново-Кемеровская ТЭЦ</x:v>
      </x:c>
      <x:c r="B216" s="16" t="str">
        <x:v>2000539091-U411</x:v>
      </x:c>
      <x:c r="C216" s="16" t="str">
        <x:v>КМП КОЛЕЦ КГФ-К-03Ш КГФ-Г 2*5-140*120*15</x:v>
      </x:c>
      <x:c r="D216" s="16" t="str">
        <x:v>Асбо-технические изделия</x:v>
      </x:c>
      <x:c r="E216" s="16" t="str">
        <x:v>КМП</x:v>
      </x:c>
      <x:c r="F216" s="21" t="n">
        <x:v>15</x:v>
      </x:c>
      <x:c r="G216" s="17" t="n">
        <x:v>255.3338</x:v>
      </x:c>
      <x:c r="H216" s="17" t="n">
        <x:f>G216*F216</x:f>
        <x:v>3830.007</x:v>
      </x:c>
      <x:c r="I216" s="22" t="str">
        <x:f>HYPERLINK("https://etp-aktiv.ru/catalog/materialy/asbo-tekhnicheskie-izdeliya/2000539091-U411/","Открыть позицию")</x:f>
        <x:v>Открыть позицию</x:v>
      </x:c>
    </x:row>
    <x:row r="217" ht="28" customHeight="1">
      <x:c r="A217" s="16" t="str">
        <x:v>Ново-Кемеровская ТЭЦ</x:v>
      </x:c>
      <x:c r="B217" s="16" t="str">
        <x:v>2000539093-U411</x:v>
      </x:c>
      <x:c r="C217" s="16" t="str">
        <x:v>КМП КОЛЕЦ КП-03 170*145*15 ГФ-2</x:v>
      </x:c>
      <x:c r="D217" s="16" t="str">
        <x:v>Асбо-технические изделия</x:v>
      </x:c>
      <x:c r="E217" s="16" t="str">
        <x:v>КМП</x:v>
      </x:c>
      <x:c r="F217" s="21" t="n">
        <x:v>11</x:v>
      </x:c>
      <x:c r="G217" s="17" t="n">
        <x:v>251.259</x:v>
      </x:c>
      <x:c r="H217" s="17" t="n">
        <x:f>G217*F217</x:f>
        <x:v>2763.8489999999997</x:v>
      </x:c>
      <x:c r="I217" s="22" t="str">
        <x:f>HYPERLINK("https://etp-aktiv.ru/catalog/materialy/asbo-tekhnicheskie-izdeliya/2000539093-U411/","Открыть позицию")</x:f>
        <x:v>Открыть позицию</x:v>
      </x:c>
    </x:row>
    <x:row r="218" ht="28" customHeight="1">
      <x:c r="A218" s="16" t="str">
        <x:v>Ново-Кемеровская ТЭЦ</x:v>
      </x:c>
      <x:c r="B218" s="16" t="str">
        <x:v>2000539094-U411</x:v>
      </x:c>
      <x:c r="C218" s="16" t="str">
        <x:v>КМП КОЛЕЦ КП-03 250*210*20 ГФ-2</x:v>
      </x:c>
      <x:c r="D218" s="16" t="str">
        <x:v>Асбо-технические изделия</x:v>
      </x:c>
      <x:c r="E218" s="16" t="str">
        <x:v>КМП</x:v>
      </x:c>
      <x:c r="F218" s="21" t="n">
        <x:v>8</x:v>
      </x:c>
      <x:c r="G218" s="17" t="n">
        <x:v>1669.1918</x:v>
      </x:c>
      <x:c r="H218" s="17" t="n">
        <x:f>G218*F218</x:f>
        <x:v>13353.5344</x:v>
      </x:c>
      <x:c r="I218" s="22" t="str">
        <x:f>HYPERLINK("https://etp-aktiv.ru/catalog/materialy/asbo-tekhnicheskie-izdeliya/2000539094-U411/","Открыть позицию")</x:f>
        <x:v>Открыть позицию</x:v>
      </x:c>
    </x:row>
    <x:row r="219" ht="28" customHeight="1">
      <x:c r="A219" s="16" t="str">
        <x:v>Ново-Кемеровская ТЭЦ</x:v>
      </x:c>
      <x:c r="B219" s="16" t="str">
        <x:v>2000539092-U411</x:v>
      </x:c>
      <x:c r="C219" s="16" t="str">
        <x:v>КМП КОЛЕЦ КП-03 350*300*25 ГФ-2</x:v>
      </x:c>
      <x:c r="D219" s="16" t="str">
        <x:v>Асбо-технические изделия</x:v>
      </x:c>
      <x:c r="E219" s="16" t="str">
        <x:v>КМП</x:v>
      </x:c>
      <x:c r="F219" s="21" t="n">
        <x:v>6</x:v>
      </x:c>
      <x:c r="G219" s="17" t="n">
        <x:v>1294.3468</x:v>
      </x:c>
      <x:c r="H219" s="17" t="n">
        <x:f>G219*F219</x:f>
        <x:v>7766.0808</x:v>
      </x:c>
      <x:c r="I219" s="22" t="str">
        <x:f>HYPERLINK("https://etp-aktiv.ru/catalog/materialy/asbo-tekhnicheskie-izdeliya/2000539092-U411/","Открыть позицию")</x:f>
        <x:v>Открыть позицию</x:v>
      </x:c>
    </x:row>
    <x:row r="220" ht="28" customHeight="1">
      <x:c r="A220" s="16" t="str">
        <x:v>Ново-Кемеровская ТЭЦ</x:v>
      </x:c>
      <x:c r="B220" s="16" t="str">
        <x:v>2000539097-U411</x:v>
      </x:c>
      <x:c r="C220" s="16" t="str">
        <x:v>КМП КОЛЕЦ КП-04 115*103*12 ГФ-2</x:v>
      </x:c>
      <x:c r="D220" s="16" t="str">
        <x:v>Асбо-технические изделия</x:v>
      </x:c>
      <x:c r="E220" s="16" t="str">
        <x:v>КМП</x:v>
      </x:c>
      <x:c r="F220" s="21" t="n">
        <x:v>24</x:v>
      </x:c>
      <x:c r="G220" s="17" t="n">
        <x:v>128.4782</x:v>
      </x:c>
      <x:c r="H220" s="17" t="n">
        <x:f>G220*F220</x:f>
        <x:v>3083.4767999999995</x:v>
      </x:c>
      <x:c r="I220" s="22" t="str">
        <x:f>HYPERLINK("https://etp-aktiv.ru/catalog/materialy/asbo-tekhnicheskie-izdeliya/2000539097-U411/","Открыть позицию")</x:f>
        <x:v>Открыть позицию</x:v>
      </x:c>
    </x:row>
    <x:row r="221" ht="28" customHeight="1">
      <x:c r="A221" s="16" t="str">
        <x:v>Ново-Кемеровская ТЭЦ</x:v>
      </x:c>
      <x:c r="B221" s="16" t="str">
        <x:v>2000539099-U411</x:v>
      </x:c>
      <x:c r="C221" s="16" t="str">
        <x:v>КМП КОЛЕЦ КП-04 170*145*15 ГФ-2</x:v>
      </x:c>
      <x:c r="D221" s="16" t="str">
        <x:v>Асбо-технические изделия</x:v>
      </x:c>
      <x:c r="E221" s="16" t="str">
        <x:v>ШТ</x:v>
      </x:c>
      <x:c r="F221" s="21" t="n">
        <x:v>28</x:v>
      </x:c>
      <x:c r="G221" s="17" t="n">
        <x:v>261.75100000000003</x:v>
      </x:c>
      <x:c r="H221" s="17" t="n">
        <x:f>G221*F221</x:f>
        <x:v>7329.028000000001</x:v>
      </x:c>
      <x:c r="I221" s="22" t="str">
        <x:f>HYPERLINK("https://etp-aktiv.ru/catalog/materialy/asbo-tekhnicheskie-izdeliya/2000539099-U411/","Открыть позицию")</x:f>
        <x:v>Открыть позицию</x:v>
      </x:c>
    </x:row>
    <x:row r="222" ht="28" customHeight="1">
      <x:c r="A222" s="16" t="str">
        <x:v>Ново-Кемеровская ТЭЦ</x:v>
      </x:c>
      <x:c r="B222" s="16" t="str">
        <x:v>2000539101-U411</x:v>
      </x:c>
      <x:c r="C222" s="16" t="str">
        <x:v>КМП КОЛЕЦ КП-04 275*245*15 ГФ-2</x:v>
      </x:c>
      <x:c r="D222" s="16" t="str">
        <x:v>Асбо-технические изделия</x:v>
      </x:c>
      <x:c r="E222" s="16" t="str">
        <x:v>КМП</x:v>
      </x:c>
      <x:c r="F222" s="21" t="n">
        <x:v>34</x:v>
      </x:c>
      <x:c r="G222" s="17" t="n">
        <x:v>267.02139999999997</x:v>
      </x:c>
      <x:c r="H222" s="17" t="n">
        <x:f>G222*F222</x:f>
        <x:v>9078.727599999998</x:v>
      </x:c>
      <x:c r="I222" s="22" t="str">
        <x:f>HYPERLINK("https://etp-aktiv.ru/catalog/materialy/asbo-tekhnicheskie-izdeliya/2000539101-U411/","Открыть позицию")</x:f>
        <x:v>Открыть позицию</x:v>
      </x:c>
    </x:row>
    <x:row r="223" ht="28" customHeight="1">
      <x:c r="A223" s="16" t="str">
        <x:v>Ново-Кемеровская ТЭЦ</x:v>
      </x:c>
      <x:c r="B223" s="16" t="str">
        <x:v>2000589891-U411</x:v>
      </x:c>
      <x:c r="C223" s="16" t="str">
        <x:v>КМП КОЛЕЦ КП-04 300*270*30 ГФ-2</x:v>
      </x:c>
      <x:c r="D223" s="16" t="str">
        <x:v>Асбо-технические изделия</x:v>
      </x:c>
      <x:c r="E223" s="16" t="str">
        <x:v>КМП</x:v>
      </x:c>
      <x:c r="F223" s="21" t="n">
        <x:v>1</x:v>
      </x:c>
      <x:c r="G223" s="17" t="n">
        <x:v>1444.9191999999998</x:v>
      </x:c>
      <x:c r="H223" s="17" t="n">
        <x:f>G223*F223</x:f>
        <x:v>1444.9191999999998</x:v>
      </x:c>
      <x:c r="I223" s="22" t="str">
        <x:f>HYPERLINK("https://etp-aktiv.ru/catalog/materialy/asbo-tekhnicheskie-izdeliya/2000589891-U411/","Открыть позицию")</x:f>
        <x:v>Открыть позицию</x:v>
      </x:c>
    </x:row>
    <x:row r="224" ht="28" customHeight="1">
      <x:c r="A224" s="16" t="str">
        <x:v>Ново-Кемеровская ТЭЦ</x:v>
      </x:c>
      <x:c r="B224" s="16" t="str">
        <x:v>2000539106-U411</x:v>
      </x:c>
      <x:c r="C224" s="16" t="str">
        <x:v>КМП КОЛЕЦ КШ-03-2*4-56*36-60-ГФ-2</x:v>
      </x:c>
      <x:c r="D224" s="16" t="str">
        <x:v>Асбо-технические изделия</x:v>
      </x:c>
      <x:c r="E224" s="16" t="str">
        <x:v>ШТ</x:v>
      </x:c>
      <x:c r="F224" s="21" t="n">
        <x:v>92</x:v>
      </x:c>
      <x:c r="G224" s="17" t="n">
        <x:v>78.4582</x:v>
      </x:c>
      <x:c r="H224" s="17" t="n">
        <x:f>G224*F224</x:f>
        <x:v>7218.1544</x:v>
      </x:c>
      <x:c r="I224" s="22" t="str">
        <x:f>HYPERLINK("https://etp-aktiv.ru/catalog/materialy/asbo-tekhnicheskie-izdeliya/2000539106-U411/","Открыть позицию")</x:f>
        <x:v>Открыть позицию</x:v>
      </x:c>
    </x:row>
    <x:row r="225" ht="28" customHeight="1">
      <x:c r="A225" s="16" t="str">
        <x:v>Ново-Кемеровская ТЭЦ</x:v>
      </x:c>
      <x:c r="B225" s="16" t="str">
        <x:v>2000539108-U411</x:v>
      </x:c>
      <x:c r="C225" s="16" t="str">
        <x:v>КМП КОЛЕЦ КШ-06-2*4 36*24-36-ГФ-2</x:v>
      </x:c>
      <x:c r="D225" s="16" t="str">
        <x:v>Асбо-технические изделия</x:v>
      </x:c>
      <x:c r="E225" s="16" t="str">
        <x:v>КМП</x:v>
      </x:c>
      <x:c r="F225" s="21" t="n">
        <x:v>18</x:v>
      </x:c>
      <x:c r="G225" s="17" t="n">
        <x:v>40.857800000000005</x:v>
      </x:c>
      <x:c r="H225" s="17" t="n">
        <x:f>G225*F225</x:f>
        <x:v>735.4404000000001</x:v>
      </x:c>
      <x:c r="I225" s="22" t="str">
        <x:f>HYPERLINK("https://etp-aktiv.ru/catalog/materialy/asbo-tekhnicheskie-izdeliya/2000539108-U411/","Открыть позицию")</x:f>
        <x:v>Открыть позицию</x:v>
      </x:c>
    </x:row>
    <x:row r="226" ht="28" customHeight="1">
      <x:c r="A226" s="16" t="str">
        <x:v>Ново-Кемеровская ТЭЦ</x:v>
      </x:c>
      <x:c r="B226" s="16" t="str">
        <x:v>2000539109-U411</x:v>
      </x:c>
      <x:c r="C226" s="16" t="str">
        <x:v>КМП КОЛЕЦ КШ-06-2*4-32*20-36-ГФ-2</x:v>
      </x:c>
      <x:c r="D226" s="16" t="str">
        <x:v>Асбо-технические изделия</x:v>
      </x:c>
      <x:c r="E226" s="16" t="str">
        <x:v>КМП</x:v>
      </x:c>
      <x:c r="F226" s="21" t="n">
        <x:v>596</x:v>
      </x:c>
      <x:c r="G226" s="17" t="n">
        <x:v>34.9164</x:v>
      </x:c>
      <x:c r="H226" s="17" t="n">
        <x:f>G226*F226</x:f>
        <x:v>20810.174400000004</x:v>
      </x:c>
      <x:c r="I226" s="22" t="str">
        <x:f>HYPERLINK("https://etp-aktiv.ru/catalog/materialy/asbo-tekhnicheskie-izdeliya/2000539109-U411/","Открыть позицию")</x:f>
        <x:v>Открыть позицию</x:v>
      </x:c>
    </x:row>
    <x:row r="227" ht="28" customHeight="1">
      <x:c r="A227" s="16" t="str">
        <x:v>Ново-Кемеровская ТЭЦ</x:v>
      </x:c>
      <x:c r="B227" s="16" t="str">
        <x:v>2000539114-U411</x:v>
      </x:c>
      <x:c r="C227" s="16" t="str">
        <x:v>КМП КОЛЕЦ КШ-06-2*5-100*70-105-ГФ-2</x:v>
      </x:c>
      <x:c r="D227" s="16" t="str">
        <x:v>Асбо-технические изделия</x:v>
      </x:c>
      <x:c r="E227" s="16" t="str">
        <x:v>КМП</x:v>
      </x:c>
      <x:c r="F227" s="21" t="n">
        <x:v>13</x:v>
      </x:c>
      <x:c r="G227" s="17" t="n">
        <x:v>463.6732</x:v>
      </x:c>
      <x:c r="H227" s="17" t="n">
        <x:f>G227*F227</x:f>
        <x:v>6027.7516000000005</x:v>
      </x:c>
      <x:c r="I227" s="22" t="str">
        <x:f>HYPERLINK("https://etp-aktiv.ru/catalog/materialy/asbo-tekhnicheskie-izdeliya/2000539114-U411/","Открыть позицию")</x:f>
        <x:v>Открыть позицию</x:v>
      </x:c>
    </x:row>
    <x:row r="228" ht="28" customHeight="1">
      <x:c r="A228" s="16" t="str">
        <x:v>Ново-Кемеровская ТЭЦ</x:v>
      </x:c>
      <x:c r="B228" s="16" t="str">
        <x:v>2000539115-U411</x:v>
      </x:c>
      <x:c r="C228" s="16" t="str">
        <x:v>КМП КОЛЕЦ КШ-06-2*5-140*120-70-ГФ-2</x:v>
      </x:c>
      <x:c r="D228" s="16" t="str">
        <x:v>Асбо-технические изделия</x:v>
      </x:c>
      <x:c r="E228" s="16" t="str">
        <x:v>КМП</x:v>
      </x:c>
      <x:c r="F228" s="21" t="n">
        <x:v>9</x:v>
      </x:c>
      <x:c r="G228" s="17" t="n">
        <x:v>392.3032</x:v>
      </x:c>
      <x:c r="H228" s="17" t="n">
        <x:f>G228*F228</x:f>
        <x:v>3530.7288</x:v>
      </x:c>
      <x:c r="I228" s="22" t="str">
        <x:f>HYPERLINK("https://etp-aktiv.ru/catalog/materialy/asbo-tekhnicheskie-izdeliya/2000539115-U411/","Открыть позицию")</x:f>
        <x:v>Открыть позицию</x:v>
      </x:c>
    </x:row>
    <x:row r="229" ht="28" customHeight="1">
      <x:c r="A229" s="16" t="str">
        <x:v>Ново-Кемеровская ТЭЦ</x:v>
      </x:c>
      <x:c r="B229" s="16" t="str">
        <x:v>2000539105-U411</x:v>
      </x:c>
      <x:c r="C229" s="16" t="str">
        <x:v>КМП КШ03-2*4-42*26*35-ГФ-2 (КГФ-Г К-03Ш)</x:v>
      </x:c>
      <x:c r="D229" s="16" t="str">
        <x:v>Асбо-технические изделия</x:v>
      </x:c>
      <x:c r="E229" s="16" t="str">
        <x:v>КМП</x:v>
      </x:c>
      <x:c r="F229" s="21" t="n">
        <x:v>12</x:v>
      </x:c>
      <x:c r="G229" s="17" t="n">
        <x:v>45.4084</x:v>
      </x:c>
      <x:c r="H229" s="17" t="n">
        <x:f>G229*F229</x:f>
        <x:v>544.9008</x:v>
      </x:c>
      <x:c r="I229" s="22" t="str">
        <x:f>HYPERLINK("https://etp-aktiv.ru/catalog/materialy/asbo-tekhnicheskie-izdeliya/2000539105-U411/","Открыть позицию")</x:f>
        <x:v>Открыть позицию</x:v>
      </x:c>
    </x:row>
    <x:row r="230" ht="28" customHeight="1">
      <x:c r="A230" s="16" t="str">
        <x:v>Ново-Кемеровская ТЭЦ</x:v>
      </x:c>
      <x:c r="B230" s="16" t="str">
        <x:v>2000539107-U411</x:v>
      </x:c>
      <x:c r="C230" s="16" t="str">
        <x:v>КМП КШ03-2*4-62*36*70-ГФ-2 (КГФ-Г К-03Ш)</x:v>
      </x:c>
      <x:c r="D230" s="16" t="str">
        <x:v>Асбо-технические изделия</x:v>
      </x:c>
      <x:c r="E230" s="16" t="str">
        <x:v>КМП</x:v>
      </x:c>
      <x:c r="F230" s="21" t="n">
        <x:v>8</x:v>
      </x:c>
      <x:c r="G230" s="17" t="n">
        <x:v>167.445</x:v>
      </x:c>
      <x:c r="H230" s="17" t="n">
        <x:f>G230*F230</x:f>
        <x:v>1339.56</x:v>
      </x:c>
      <x:c r="I230" s="22" t="str">
        <x:f>HYPERLINK("https://etp-aktiv.ru/catalog/materialy/asbo-tekhnicheskie-izdeliya/2000539107-U411/","Открыть позицию")</x:f>
        <x:v>Открыть позицию</x:v>
      </x:c>
    </x:row>
    <x:row r="231" ht="28" customHeight="1">
      <x:c r="A231" s="16" t="str">
        <x:v>Ново-Кемеровская ТЭЦ</x:v>
      </x:c>
      <x:c r="B231" s="16" t="str">
        <x:v>2000640133-U411</x:v>
      </x:c>
      <x:c r="C231" s="16" t="str">
        <x:v>КМП САЛЬНИКА К-01Ш КГФ-Г 2*4-135*104</x:v>
      </x:c>
      <x:c r="D231" s="16" t="str">
        <x:v>Асбо-технические изделия</x:v>
      </x:c>
      <x:c r="E231" s="16" t="str">
        <x:v>КМП</x:v>
      </x:c>
      <x:c r="F231" s="21" t="n">
        <x:v>1</x:v>
      </x:c>
      <x:c r="G231" s="17" t="n">
        <x:v>2350.0006</x:v>
      </x:c>
      <x:c r="H231" s="17" t="n">
        <x:f>G231*F231</x:f>
        <x:v>2350.0006</x:v>
      </x:c>
      <x:c r="I231" s="22" t="str">
        <x:f>HYPERLINK("https://etp-aktiv.ru/catalog/materialy/asbo-tekhnicheskie-izdeliya/2000640133-U411/","Открыть позицию")</x:f>
        <x:v>Открыть позицию</x:v>
      </x:c>
    </x:row>
    <x:row r="232" ht="28" customHeight="1">
      <x:c r="A232" s="16" t="str">
        <x:v>Ново-Кемеровская ТЭЦ</x:v>
      </x:c>
      <x:c r="B232" s="16" t="str">
        <x:v>2000640187-U411</x:v>
      </x:c>
      <x:c r="C232" s="16" t="str">
        <x:v>КМП САЛЬНИКА К-05Ш КГФ-Г 2*4-52*36*48</x:v>
      </x:c>
      <x:c r="D232" s="16" t="str">
        <x:v>Асбо-технические изделия</x:v>
      </x:c>
      <x:c r="E232" s="16" t="str">
        <x:v>КМП</x:v>
      </x:c>
      <x:c r="F232" s="21" t="n">
        <x:v>2</x:v>
      </x:c>
      <x:c r="G232" s="17" t="n">
        <x:v>146.26579999999998</x:v>
      </x:c>
      <x:c r="H232" s="17" t="n">
        <x:f>G232*F232</x:f>
        <x:v>292.53159999999997</x:v>
      </x:c>
      <x:c r="I232" s="22" t="str">
        <x:f>HYPERLINK("https://etp-aktiv.ru/catalog/materialy/asbo-tekhnicheskie-izdeliya/2000640187-U411/","Открыть позицию")</x:f>
        <x:v>Открыть позицию</x:v>
      </x:c>
    </x:row>
    <x:row r="233" ht="28" customHeight="1">
      <x:c r="A233" s="16" t="str">
        <x:v>Ново-Кемеровская ТЭЦ</x:v>
      </x:c>
      <x:c r="B233" s="16" t="str">
        <x:v>2000589893-U411</x:v>
      </x:c>
      <x:c r="C233" s="16" t="str">
        <x:v>КМП САЛЬНИКОВ К-01Ш 2*4 86*60*78</x:v>
      </x:c>
      <x:c r="D233" s="16" t="str">
        <x:v>Асбо-технические изделия</x:v>
      </x:c>
      <x:c r="E233" s="16" t="str">
        <x:v>КМП</x:v>
      </x:c>
      <x:c r="F233" s="21" t="n">
        <x:v>7</x:v>
      </x:c>
      <x:c r="G233" s="17" t="n">
        <x:v>649.7476</x:v>
      </x:c>
      <x:c r="H233" s="17" t="n">
        <x:f>G233*F233</x:f>
        <x:v>4548.233200000001</x:v>
      </x:c>
      <x:c r="I233" s="22" t="str">
        <x:f>HYPERLINK("https://etp-aktiv.ru/catalog/materialy/asbo-tekhnicheskie-izdeliya/2000589893-U411/","Открыть позицию")</x:f>
        <x:v>Открыть позицию</x:v>
      </x:c>
    </x:row>
    <x:row r="234" ht="28" customHeight="1">
      <x:c r="A234" s="16" t="str">
        <x:v>Ново-Кемеровская ТЭЦ</x:v>
      </x:c>
      <x:c r="B234" s="16" t="str">
        <x:v>2000636051-U411</x:v>
      </x:c>
      <x:c r="C234" s="16" t="str">
        <x:v>КМП САЛЬНИКОВ К-01Ш 2*4-78*52*78 КГФ-Г</x:v>
      </x:c>
      <x:c r="D234" s="16" t="str">
        <x:v>Асбо-технические изделия</x:v>
      </x:c>
      <x:c r="E234" s="16" t="str">
        <x:v>КМП</x:v>
      </x:c>
      <x:c r="F234" s="21" t="n">
        <x:v>3</x:v>
      </x:c>
      <x:c r="G234" s="17" t="n">
        <x:v>403.8688</x:v>
      </x:c>
      <x:c r="H234" s="17" t="n">
        <x:f>G234*F234</x:f>
        <x:v>1211.6064000000001</x:v>
      </x:c>
      <x:c r="I234" s="22" t="str">
        <x:f>HYPERLINK("https://etp-aktiv.ru/catalog/materialy/asbo-tekhnicheskie-izdeliya/2000636051-U411/","Открыть позицию")</x:f>
        <x:v>Открыть позицию</x:v>
      </x:c>
    </x:row>
    <x:row r="235" ht="28" customHeight="1">
      <x:c r="A235" s="16" t="str">
        <x:v>Ново-Кемеровская ТЭЦ</x:v>
      </x:c>
      <x:c r="B235" s="16" t="str">
        <x:v>2000780155-U411</x:v>
      </x:c>
      <x:c r="C235" s="16" t="str">
        <x:v>КОЛЬЦО 00-В-Б 62*55*6 ГФ-2</x:v>
      </x:c>
      <x:c r="D235" s="16" t="str">
        <x:v>Асбо-технические изделия</x:v>
      </x:c>
      <x:c r="E235" s="16" t="str">
        <x:v>ШТ</x:v>
      </x:c>
      <x:c r="F235" s="21" t="n">
        <x:v>6</x:v>
      </x:c>
      <x:c r="G235" s="17" t="n">
        <x:v>13.6884</x:v>
      </x:c>
      <x:c r="H235" s="17" t="n">
        <x:f>G235*F235</x:f>
        <x:v>82.1304</x:v>
      </x:c>
      <x:c r="I235" s="22" t="str">
        <x:f>HYPERLINK("https://etp-aktiv.ru/catalog/materialy/asbo-tekhnicheskie-izdeliya/2000780155-U411/","Открыть позицию")</x:f>
        <x:v>Открыть позицию</x:v>
      </x:c>
    </x:row>
    <x:row r="236" ht="28" customHeight="1">
      <x:c r="A236" s="16" t="str">
        <x:v>Ново-Кемеровская ТЭЦ</x:v>
      </x:c>
      <x:c r="B236" s="16" t="str">
        <x:v>2000538927-U411</x:v>
      </x:c>
      <x:c r="C236" s="16" t="str">
        <x:v>КОЛЬЦО 00-В-Б ГФ-2 140*120*10</x:v>
      </x:c>
      <x:c r="D236" s="16" t="str">
        <x:v>Асбо-технические изделия</x:v>
      </x:c>
      <x:c r="E236" s="16" t="str">
        <x:v>ШТ</x:v>
      </x:c>
      <x:c r="F236" s="21" t="n">
        <x:v>20</x:v>
      </x:c>
      <x:c r="G236" s="17" t="n">
        <x:v>41.907000000000004</x:v>
      </x:c>
      <x:c r="H236" s="17" t="n">
        <x:f>G236*F236</x:f>
        <x:v>838.1400000000001</x:v>
      </x:c>
      <x:c r="I236" s="22" t="str">
        <x:f>HYPERLINK("https://etp-aktiv.ru/catalog/materialy/asbo-tekhnicheskie-izdeliya/2000538927-U411/","Открыть позицию")</x:f>
        <x:v>Открыть позицию</x:v>
      </x:c>
    </x:row>
    <x:row r="237" ht="28" customHeight="1">
      <x:c r="A237" s="16" t="str">
        <x:v>Ново-Кемеровская ТЭЦ</x:v>
      </x:c>
      <x:c r="B237" s="16" t="str">
        <x:v>2000538935-U411</x:v>
      </x:c>
      <x:c r="C237" s="16" t="str">
        <x:v>КОЛЬЦО 00-В-Б ГФ-2 56*36*10</x:v>
      </x:c>
      <x:c r="D237" s="16" t="str">
        <x:v>Асбо-технические изделия</x:v>
      </x:c>
      <x:c r="E237" s="16" t="str">
        <x:v>ШТ</x:v>
      </x:c>
      <x:c r="F237" s="21" t="n">
        <x:v>82</x:v>
      </x:c>
      <x:c r="G237" s="17" t="n">
        <x:v>19.4956</x:v>
      </x:c>
      <x:c r="H237" s="17" t="n">
        <x:f>G237*F237</x:f>
        <x:v>1598.6392</x:v>
      </x:c>
      <x:c r="I237" s="22" t="str">
        <x:f>HYPERLINK("https://etp-aktiv.ru/catalog/materialy/asbo-tekhnicheskie-izdeliya/2000538935-U411/","Открыть позицию")</x:f>
        <x:v>Открыть позицию</x:v>
      </x:c>
    </x:row>
    <x:row r="238" ht="28" customHeight="1">
      <x:c r="A238" s="16" t="str">
        <x:v>Ново-Кемеровская ТЭЦ</x:v>
      </x:c>
      <x:c r="B238" s="16" t="str">
        <x:v>2000606254-U411</x:v>
      </x:c>
      <x:c r="C238" s="16" t="str">
        <x:v>КОЛЬЦО 00-В-Б-200*170*15 ГФ-2</x:v>
      </x:c>
      <x:c r="D238" s="16" t="str">
        <x:v>Асбо-технические изделия</x:v>
      </x:c>
      <x:c r="E238" s="16" t="str">
        <x:v>ШТ</x:v>
      </x:c>
      <x:c r="F238" s="21" t="n">
        <x:v>4</x:v>
      </x:c>
      <x:c r="G238" s="17" t="n">
        <x:v>164.7</x:v>
      </x:c>
      <x:c r="H238" s="17" t="n">
        <x:f>G238*F238</x:f>
        <x:v>658.8</x:v>
      </x:c>
      <x:c r="I238" s="22" t="str">
        <x:f>HYPERLINK("https://etp-aktiv.ru/catalog/materialy/asbo-tekhnicheskie-izdeliya/2000606254-U411/","Открыть позицию")</x:f>
        <x:v>Открыть позицию</x:v>
      </x:c>
    </x:row>
    <x:row r="239" ht="28" customHeight="1">
      <x:c r="A239" s="16" t="str">
        <x:v>Ново-Кемеровская ТЭЦ</x:v>
      </x:c>
      <x:c r="B239" s="16" t="str">
        <x:v>2000357909-U411</x:v>
      </x:c>
      <x:c r="C239" s="16" t="str">
        <x:v>КОЛЬЦО 140-145-36-2-2</x:v>
      </x:c>
      <x:c r="D239" s="16" t="str">
        <x:v>Резино-технические изделия прочие</x:v>
      </x:c>
      <x:c r="E239" s="16" t="str">
        <x:v>ШТ</x:v>
      </x:c>
      <x:c r="F239" s="21" t="n">
        <x:v>2</x:v>
      </x:c>
      <x:c r="G239" s="17" t="n">
        <x:v>28.365</x:v>
      </x:c>
      <x:c r="H239" s="17" t="n">
        <x:f>G239*F239</x:f>
        <x:v>56.73</x:v>
      </x:c>
      <x:c r="I239" s="22" t="str">
        <x:f>HYPERLINK("https://etp-aktiv.ru/catalog/materialy/rezino-tekhnicheskie-izdeliya/2000357909-U411/","Открыть позицию")</x:f>
        <x:v>Открыть позицию</x:v>
      </x:c>
    </x:row>
    <x:row r="240" ht="28" customHeight="1">
      <x:c r="A240" s="16" t="str">
        <x:v>Ново-Кемеровская ТЭЦ</x:v>
      </x:c>
      <x:c r="B240" s="16" t="str">
        <x:v>2000026806-U411</x:v>
      </x:c>
      <x:c r="C240" s="16" t="str">
        <x:v>КОЛЬЦО 450-460-58-2-2</x:v>
      </x:c>
      <x:c r="D240" s="16" t="str">
        <x:v>Резино-технические изделия прочие</x:v>
      </x:c>
      <x:c r="E240" s="16" t="str">
        <x:v>ШТ</x:v>
      </x:c>
      <x:c r="F240" s="21" t="n">
        <x:v>1</x:v>
      </x:c>
      <x:c r="G240" s="17" t="n">
        <x:v>233.325</x:v>
      </x:c>
      <x:c r="H240" s="17" t="n">
        <x:f>G240*F240</x:f>
        <x:v>233.325</x:v>
      </x:c>
      <x:c r="I240" s="22" t="str">
        <x:f>HYPERLINK("https://etp-aktiv.ru/catalog/materialy/rezino-tekhnicheskie-izdeliya/2000026806-U411/","Открыть позицию")</x:f>
        <x:v>Открыть позицию</x:v>
      </x:c>
    </x:row>
    <x:row r="241" ht="28" customHeight="1">
      <x:c r="A241" s="16" t="str">
        <x:v>Ново-Кемеровская ТЭЦ</x:v>
      </x:c>
      <x:c r="B241" s="16" t="str">
        <x:v>2000688575-U411</x:v>
      </x:c>
      <x:c r="C241" s="16" t="str">
        <x:v>КОЛЬЦО КАГУ-3 42*25*10</x:v>
      </x:c>
      <x:c r="D241" s="16" t="str">
        <x:v>Асбо-технические изделия</x:v>
      </x:c>
      <x:c r="E241" s="16" t="str">
        <x:v>ШТ</x:v>
      </x:c>
      <x:c r="F241" s="21" t="n">
        <x:v>4</x:v>
      </x:c>
      <x:c r="G241" s="17" t="n">
        <x:v>34.2698</x:v>
      </x:c>
      <x:c r="H241" s="17" t="n">
        <x:f>G241*F241</x:f>
        <x:v>137.0792</x:v>
      </x:c>
      <x:c r="I241" s="22" t="str">
        <x:f>HYPERLINK("https://etp-aktiv.ru/catalog/materialy/asbo-tekhnicheskie-izdeliya/2000688575-U411/","Открыть позицию")</x:f>
        <x:v>Открыть позицию</x:v>
      </x:c>
    </x:row>
    <x:row r="242" ht="28" customHeight="1">
      <x:c r="A242" s="16" t="str">
        <x:v>Ново-Кемеровская ТЭЦ</x:v>
      </x:c>
      <x:c r="B242" s="16" t="str">
        <x:v>2000688576-U411</x:v>
      </x:c>
      <x:c r="C242" s="16" t="str">
        <x:v>КОЛЬЦО КГУ-1 42*25*8</x:v>
      </x:c>
      <x:c r="D242" s="16" t="str">
        <x:v>Асбо-технические изделия</x:v>
      </x:c>
      <x:c r="E242" s="16" t="str">
        <x:v>ШТ</x:v>
      </x:c>
      <x:c r="F242" s="21" t="n">
        <x:v>2</x:v>
      </x:c>
      <x:c r="G242" s="17" t="n">
        <x:v>22.2772</x:v>
      </x:c>
      <x:c r="H242" s="17" t="n">
        <x:f>G242*F242</x:f>
        <x:v>44.5544</x:v>
      </x:c>
      <x:c r="I242" s="22" t="str">
        <x:f>HYPERLINK("https://etp-aktiv.ru/catalog/materialy/asbo-tekhnicheskie-izdeliya/2000688576-U411/","Открыть позицию")</x:f>
        <x:v>Открыть позицию</x:v>
      </x:c>
    </x:row>
    <x:row r="243" ht="28" customHeight="1">
      <x:c r="A243" s="16" t="str">
        <x:v>Ново-Кемеровская ТЭЦ</x:v>
      </x:c>
      <x:c r="B243" s="16" t="str">
        <x:v>2000539007-U411</x:v>
      </x:c>
      <x:c r="C243" s="16" t="str">
        <x:v>КОЛЬЦО КГФ-Г 104*72*16</x:v>
      </x:c>
      <x:c r="D243" s="16" t="str">
        <x:v>Асбо-технические изделия</x:v>
      </x:c>
      <x:c r="E243" s="16" t="str">
        <x:v>ШТ</x:v>
      </x:c>
      <x:c r="F243" s="21" t="n">
        <x:v>82</x:v>
      </x:c>
      <x:c r="G243" s="17" t="n">
        <x:v>116.46119999999999</x:v>
      </x:c>
      <x:c r="H243" s="17" t="n">
        <x:f>G243*F243</x:f>
        <x:v>9549.8184</x:v>
      </x:c>
      <x:c r="I243" s="22" t="str">
        <x:f>HYPERLINK("https://etp-aktiv.ru/catalog/materialy/asbo-tekhnicheskie-izdeliya/2000539007-U411/","Открыть позицию")</x:f>
        <x:v>Открыть позицию</x:v>
      </x:c>
    </x:row>
    <x:row r="244" ht="28" customHeight="1">
      <x:c r="A244" s="16" t="str">
        <x:v>Ново-Кемеровская ТЭЦ</x:v>
      </x:c>
      <x:c r="B244" s="16" t="str">
        <x:v>2000539010-U411</x:v>
      </x:c>
      <x:c r="C244" s="16" t="str">
        <x:v>КОЛЬЦО КГФ-Г 30*18*6</x:v>
      </x:c>
      <x:c r="D244" s="16" t="str">
        <x:v>Асбо-технические изделия</x:v>
      </x:c>
      <x:c r="E244" s="16" t="str">
        <x:v>ШТ</x:v>
      </x:c>
      <x:c r="F244" s="21" t="n">
        <x:v>3</x:v>
      </x:c>
      <x:c r="G244" s="17" t="n">
        <x:v>4.9166</x:v>
      </x:c>
      <x:c r="H244" s="17" t="n">
        <x:f>G244*F244</x:f>
        <x:v>14.7498</x:v>
      </x:c>
      <x:c r="I244" s="22" t="str">
        <x:f>HYPERLINK("https://etp-aktiv.ru/catalog/materialy/asbo-tekhnicheskie-izdeliya/2000539010-U411/","Открыть позицию")</x:f>
        <x:v>Открыть позицию</x:v>
      </x:c>
    </x:row>
    <x:row r="245" ht="28" customHeight="1">
      <x:c r="A245" s="16" t="str">
        <x:v>Ново-Кемеровская ТЭЦ</x:v>
      </x:c>
      <x:c r="B245" s="16" t="str">
        <x:v>2000539011-U411</x:v>
      </x:c>
      <x:c r="C245" s="16" t="str">
        <x:v>КОЛЬЦО КГФ-Г 350*300*25</x:v>
      </x:c>
      <x:c r="D245" s="16" t="str">
        <x:v>Асбо-технические изделия</x:v>
      </x:c>
      <x:c r="E245" s="16" t="str">
        <x:v>ШТ</x:v>
      </x:c>
      <x:c r="F245" s="21" t="n">
        <x:v>6</x:v>
      </x:c>
      <x:c r="G245" s="17" t="n">
        <x:v>743.0898</x:v>
      </x:c>
      <x:c r="H245" s="17" t="n">
        <x:f>G245*F245</x:f>
        <x:v>4458.5388</x:v>
      </x:c>
      <x:c r="I245" s="22" t="str">
        <x:f>HYPERLINK("https://etp-aktiv.ru/catalog/materialy/asbo-tekhnicheskie-izdeliya/2000539011-U411/","Открыть позицию")</x:f>
        <x:v>Открыть позицию</x:v>
      </x:c>
    </x:row>
    <x:row r="246" ht="28" customHeight="1">
      <x:c r="A246" s="16" t="str">
        <x:v>Ново-Кемеровская ТЭЦ</x:v>
      </x:c>
      <x:c r="B246" s="16" t="str">
        <x:v>2000539012-U411</x:v>
      </x:c>
      <x:c r="C246" s="16" t="str">
        <x:v>КОЛЬЦО КГФ-Г 36*24*6</x:v>
      </x:c>
      <x:c r="D246" s="16" t="str">
        <x:v>Асбо-технические изделия</x:v>
      </x:c>
      <x:c r="E246" s="16" t="str">
        <x:v>ШТ</x:v>
      </x:c>
      <x:c r="F246" s="21" t="n">
        <x:v>53</x:v>
      </x:c>
      <x:c r="G246" s="17" t="n">
        <x:v>33.1108</x:v>
      </x:c>
      <x:c r="H246" s="17" t="n">
        <x:f>G246*F246</x:f>
        <x:v>1754.8724</x:v>
      </x:c>
      <x:c r="I246" s="22" t="str">
        <x:f>HYPERLINK("https://etp-aktiv.ru/catalog/materialy/asbo-tekhnicheskie-izdeliya/2000539012-U411/","Открыть позицию")</x:f>
        <x:v>Открыть позицию</x:v>
      </x:c>
    </x:row>
    <x:row r="247" ht="28" customHeight="1">
      <x:c r="A247" s="16" t="str">
        <x:v>Ново-Кемеровская ТЭЦ</x:v>
      </x:c>
      <x:c r="B247" s="16" t="str">
        <x:v>2000539017-U411</x:v>
      </x:c>
      <x:c r="C247" s="16" t="str">
        <x:v>КОЛЬЦО КГФ-Г 78*52*13</x:v>
      </x:c>
      <x:c r="D247" s="16" t="str">
        <x:v>Асбо-технические изделия</x:v>
      </x:c>
      <x:c r="E247" s="16" t="str">
        <x:v>ШТ</x:v>
      </x:c>
      <x:c r="F247" s="21" t="n">
        <x:v>68</x:v>
      </x:c>
      <x:c r="G247" s="17" t="n">
        <x:v>147.77859999999998</x:v>
      </x:c>
      <x:c r="H247" s="17" t="n">
        <x:f>G247*F247</x:f>
        <x:v>10048.9448</x:v>
      </x:c>
      <x:c r="I247" s="22" t="str">
        <x:f>HYPERLINK("https://etp-aktiv.ru/catalog/materialy/asbo-tekhnicheskie-izdeliya/2000539017-U411/","Открыть позицию")</x:f>
        <x:v>Открыть позицию</x:v>
      </x:c>
    </x:row>
    <x:row r="248" ht="28" customHeight="1">
      <x:c r="A248" s="16" t="str">
        <x:v>Ново-Кемеровская ТЭЦ</x:v>
      </x:c>
      <x:c r="B248" s="16" t="str">
        <x:v>2000539023-U411</x:v>
      </x:c>
      <x:c r="C248" s="16" t="str">
        <x:v>КОЛЬЦО КГФ-Г-О 86*60*13</x:v>
      </x:c>
      <x:c r="D248" s="16" t="str">
        <x:v>Асбо-технические изделия</x:v>
      </x:c>
      <x:c r="E248" s="16" t="str">
        <x:v>ШТ</x:v>
      </x:c>
      <x:c r="F248" s="21" t="n">
        <x:v>126</x:v>
      </x:c>
      <x:c r="G248" s="17" t="n">
        <x:v>164.45600000000002</x:v>
      </x:c>
      <x:c r="H248" s="17" t="n">
        <x:f>G248*F248</x:f>
        <x:v>20721.456000000002</x:v>
      </x:c>
      <x:c r="I248" s="22" t="str">
        <x:f>HYPERLINK("https://etp-aktiv.ru/catalog/materialy/asbo-tekhnicheskie-izdeliya/2000539023-U411/","Открыть позицию")</x:f>
        <x:v>Открыть позицию</x:v>
      </x:c>
    </x:row>
    <x:row r="249" ht="28" customHeight="1">
      <x:c r="A249" s="16" t="str">
        <x:v>Ново-Кемеровская ТЭЦ</x:v>
      </x:c>
      <x:c r="B249" s="16" t="str">
        <x:v>2000640186-U411</x:v>
      </x:c>
      <x:c r="C249" s="16" t="str">
        <x:v>КОЛЬЦО КГФ-Г-П1 170*145*15</x:v>
      </x:c>
      <x:c r="D249" s="16" t="str">
        <x:v>Асбо-технические изделия</x:v>
      </x:c>
      <x:c r="E249" s="16" t="str">
        <x:v>ШТ</x:v>
      </x:c>
      <x:c r="F249" s="21" t="n">
        <x:v>5</x:v>
      </x:c>
      <x:c r="G249" s="17" t="n">
        <x:v>312.015</x:v>
      </x:c>
      <x:c r="H249" s="17" t="n">
        <x:f>G249*F249</x:f>
        <x:v>1560.0749999999998</x:v>
      </x:c>
      <x:c r="I249" s="22" t="str">
        <x:f>HYPERLINK("https://etp-aktiv.ru/catalog/materialy/asbo-tekhnicheskie-izdeliya/2000640186-U411/","Открыть позицию")</x:f>
        <x:v>Открыть позицию</x:v>
      </x:c>
    </x:row>
    <x:row r="250" ht="28" customHeight="1">
      <x:c r="A250" s="16" t="str">
        <x:v>Ново-Кемеровская ТЭЦ</x:v>
      </x:c>
      <x:c r="B250" s="16" t="str">
        <x:v>2000539024-U411</x:v>
      </x:c>
      <x:c r="C250" s="16" t="str">
        <x:v>КОЛЬЦО КГФ-Г-П2 170*145*15</x:v>
      </x:c>
      <x:c r="D250" s="16" t="str">
        <x:v>Асбо-технические изделия</x:v>
      </x:c>
      <x:c r="E250" s="16" t="str">
        <x:v>ШТ</x:v>
      </x:c>
      <x:c r="F250" s="21" t="n">
        <x:v>3</x:v>
      </x:c>
      <x:c r="G250" s="17" t="n">
        <x:v>455.97499999999997</x:v>
      </x:c>
      <x:c r="H250" s="17" t="n">
        <x:f>G250*F250</x:f>
        <x:v>1367.925</x:v>
      </x:c>
      <x:c r="I250" s="22" t="str">
        <x:f>HYPERLINK("https://etp-aktiv.ru/catalog/materialy/asbo-tekhnicheskie-izdeliya/2000539024-U411/","Открыть позицию")</x:f>
        <x:v>Открыть позицию</x:v>
      </x:c>
    </x:row>
    <x:row r="251" ht="28" customHeight="1">
      <x:c r="A251" s="16" t="str">
        <x:v>Ново-Кемеровская ТЭЦ</x:v>
      </x:c>
      <x:c r="B251" s="16" t="str">
        <x:v>2000539031-U411</x:v>
      </x:c>
      <x:c r="C251" s="16" t="str">
        <x:v>КОЛЬЦО КГФ-Г-ПО 170*145*15</x:v>
      </x:c>
      <x:c r="D251" s="16" t="str">
        <x:v>Асбо-технические изделия</x:v>
      </x:c>
      <x:c r="E251" s="16" t="str">
        <x:v>ШТ</x:v>
      </x:c>
      <x:c r="F251" s="21" t="n">
        <x:v>16</x:v>
      </x:c>
      <x:c r="G251" s="17" t="n">
        <x:v>170.7634</x:v>
      </x:c>
      <x:c r="H251" s="17" t="n">
        <x:f>G251*F251</x:f>
        <x:v>2732.2144</x:v>
      </x:c>
      <x:c r="I251" s="22" t="str">
        <x:f>HYPERLINK("https://etp-aktiv.ru/catalog/materialy/asbo-tekhnicheskie-izdeliya/2000539031-U411/","Открыть позицию")</x:f>
        <x:v>Открыть позицию</x:v>
      </x:c>
    </x:row>
    <x:row r="252" ht="28" customHeight="1">
      <x:c r="A252" s="16" t="str">
        <x:v>Ново-Кемеровская ТЭЦ</x:v>
      </x:c>
      <x:c r="B252" s="16" t="str">
        <x:v>2000539032-U411</x:v>
      </x:c>
      <x:c r="C252" s="16" t="str">
        <x:v>КОЛЬЦО КГФ-Г-ПО 300*270*15</x:v>
      </x:c>
      <x:c r="D252" s="16" t="str">
        <x:v>Асбо-технические изделия</x:v>
      </x:c>
      <x:c r="E252" s="16" t="str">
        <x:v>ШТ</x:v>
      </x:c>
      <x:c r="F252" s="21" t="n">
        <x:v>1</x:v>
      </x:c>
      <x:c r="G252" s="17" t="n">
        <x:v>422.14439999999996</x:v>
      </x:c>
      <x:c r="H252" s="17" t="n">
        <x:f>G252*F252</x:f>
        <x:v>422.14439999999996</x:v>
      </x:c>
      <x:c r="I252" s="22" t="str">
        <x:f>HYPERLINK("https://etp-aktiv.ru/catalog/materialy/asbo-tekhnicheskie-izdeliya/2000539032-U411/","Открыть позицию")</x:f>
        <x:v>Открыть позицию</x:v>
      </x:c>
    </x:row>
    <x:row r="253" ht="28" customHeight="1">
      <x:c r="A253" s="16" t="str">
        <x:v>Ново-Кемеровская ТЭЦ</x:v>
      </x:c>
      <x:c r="B253" s="16" t="str">
        <x:v>2000539035-U411</x:v>
      </x:c>
      <x:c r="C253" s="16" t="str">
        <x:v>КОЛЬЦО КГФ-Г-С 52*36*8</x:v>
      </x:c>
      <x:c r="D253" s="16" t="str">
        <x:v>Асбо-технические изделия</x:v>
      </x:c>
      <x:c r="E253" s="16" t="str">
        <x:v>ШТ</x:v>
      </x:c>
      <x:c r="F253" s="21" t="n">
        <x:v>82</x:v>
      </x:c>
      <x:c r="G253" s="17" t="n">
        <x:v>62.3908</x:v>
      </x:c>
      <x:c r="H253" s="17" t="n">
        <x:f>G253*F253</x:f>
        <x:v>5116.0455999999995</x:v>
      </x:c>
      <x:c r="I253" s="22" t="str">
        <x:f>HYPERLINK("https://etp-aktiv.ru/catalog/materialy/asbo-tekhnicheskie-izdeliya/2000539035-U411/","Открыть позицию")</x:f>
        <x:v>Открыть позицию</x:v>
      </x:c>
    </x:row>
    <x:row r="254" ht="28" customHeight="1">
      <x:c r="A254" s="16" t="str">
        <x:v>Ново-Кемеровская ТЭЦ</x:v>
      </x:c>
      <x:c r="B254" s="16" t="str">
        <x:v>2000245037-U411</x:v>
      </x:c>
      <x:c r="C254" s="16" t="str">
        <x:v>КОЛЬЦО МУВП К2 27*14*7*3,5</x:v>
      </x:c>
      <x:c r="D254" s="16" t="str">
        <x:v>Резино-технические изделия прочие</x:v>
      </x:c>
      <x:c r="E254" s="16" t="str">
        <x:v>ШТ</x:v>
      </x:c>
      <x:c r="F254" s="21" t="n">
        <x:v>369</x:v>
      </x:c>
      <x:c r="G254" s="17" t="n">
        <x:v>2.6229999999999998</x:v>
      </x:c>
      <x:c r="H254" s="17" t="n">
        <x:f>G254*F254</x:f>
        <x:v>967.887</x:v>
      </x:c>
      <x:c r="I254" s="22" t="str">
        <x:f>HYPERLINK("https://etp-aktiv.ru/catalog/materialy/rezino-tekhnicheskie-izdeliya/2000245037-U411/","Открыть позицию")</x:f>
        <x:v>Открыть позицию</x:v>
      </x:c>
    </x:row>
    <x:row r="255" ht="28" customHeight="1">
      <x:c r="A255" s="16" t="str">
        <x:v>Ново-Кемеровская ТЭЦ</x:v>
      </x:c>
      <x:c r="B255" s="16" t="str">
        <x:v>2000141878-U411</x:v>
      </x:c>
      <x:c r="C255" s="16" t="str">
        <x:v>КОЛЬЦО УПЛОТНИТЕЛЬНОЕ 00-В-Б 32-20-6-ГФ2</x:v>
      </x:c>
      <x:c r="D255" s="16" t="str">
        <x:v>Резино-технические изделия прочие</x:v>
      </x:c>
      <x:c r="E255" s="16" t="str">
        <x:v>ШТ</x:v>
      </x:c>
      <x:c r="F255" s="21" t="n">
        <x:v>290</x:v>
      </x:c>
      <x:c r="G255" s="17" t="n">
        <x:v>10.4188</x:v>
      </x:c>
      <x:c r="H255" s="17" t="n">
        <x:f>G255*F255</x:f>
        <x:v>3021.4519999999998</x:v>
      </x:c>
      <x:c r="I255" s="22" t="str">
        <x:f>HYPERLINK("https://etp-aktiv.ru/catalog/materialy/rezino-tekhnicheskie-izdeliya/2000141878-U411/","Открыть позицию")</x:f>
        <x:v>Открыть позицию</x:v>
      </x:c>
    </x:row>
    <x:row r="256" ht="28" customHeight="1">
      <x:c r="A256" s="16" t="str">
        <x:v>Ново-Кемеровская ТЭЦ</x:v>
      </x:c>
      <x:c r="B256" s="16" t="str">
        <x:v>2000245270-U411</x:v>
      </x:c>
      <x:c r="C256" s="16" t="str">
        <x:v>КОЛЬЦО УПЛОТНИТЕЛЬНОЕ 032-037-30-2-2</x:v>
      </x:c>
      <x:c r="D256" s="16" t="str">
        <x:v>Резино-технические изделия прочие</x:v>
      </x:c>
      <x:c r="E256" s="16" t="str">
        <x:v>ШТ</x:v>
      </x:c>
      <x:c r="F256" s="21" t="n">
        <x:v>12</x:v>
      </x:c>
      <x:c r="G256" s="17" t="n">
        <x:v>5.453399999999999</x:v>
      </x:c>
      <x:c r="H256" s="17" t="n">
        <x:f>G256*F256</x:f>
        <x:v>65.4408</x:v>
      </x:c>
      <x:c r="I256" s="22" t="str">
        <x:f>HYPERLINK("https://etp-aktiv.ru/catalog/materialy/rezino-tekhnicheskie-izdeliya/2000245270-U411/","Открыть позицию")</x:f>
        <x:v>Открыть позицию</x:v>
      </x:c>
    </x:row>
    <x:row r="257" ht="28" customHeight="1">
      <x:c r="A257" s="16" t="str">
        <x:v>Ново-Кемеровская ТЭЦ</x:v>
      </x:c>
      <x:c r="B257" s="16" t="str">
        <x:v>2000000288-U411</x:v>
      </x:c>
      <x:c r="C257" s="16" t="str">
        <x:v>КОЛЬЦО УПЛОТНИТЕЛЬНОЕ 034-040-36-2-2</x:v>
      </x:c>
      <x:c r="D257" s="16" t="str">
        <x:v>Резино-технические изделия прочие</x:v>
      </x:c>
      <x:c r="E257" s="16" t="str">
        <x:v>ШТ</x:v>
      </x:c>
      <x:c r="F257" s="21" t="n">
        <x:v>4</x:v>
      </x:c>
      <x:c r="G257" s="17" t="n">
        <x:v>1.891</x:v>
      </x:c>
      <x:c r="H257" s="17" t="n">
        <x:f>G257*F257</x:f>
        <x:v>7.564</x:v>
      </x:c>
      <x:c r="I257" s="22" t="str">
        <x:f>HYPERLINK("https://etp-aktiv.ru/catalog/materialy/rezino-tekhnicheskie-izdeliya/2000000288-U411/","Открыть позицию")</x:f>
        <x:v>Открыть позицию</x:v>
      </x:c>
    </x:row>
    <x:row r="258" ht="28" customHeight="1">
      <x:c r="A258" s="16" t="str">
        <x:v>Ново-Кемеровская ТЭЦ</x:v>
      </x:c>
      <x:c r="B258" s="16" t="str">
        <x:v>2000000109-U411</x:v>
      </x:c>
      <x:c r="C258" s="16" t="str">
        <x:v>КОЛЬЦО УПЛОТНИТЕЛЬНОЕ 045-051-36-2-2</x:v>
      </x:c>
      <x:c r="D258" s="16" t="str">
        <x:v>Резино-технические изделия прочие</x:v>
      </x:c>
      <x:c r="E258" s="16" t="str">
        <x:v>ШТ</x:v>
      </x:c>
      <x:c r="F258" s="21" t="n">
        <x:v>4</x:v>
      </x:c>
      <x:c r="G258" s="17" t="n">
        <x:v>3.0622</x:v>
      </x:c>
      <x:c r="H258" s="17" t="n">
        <x:f>G258*F258</x:f>
        <x:v>12.2488</x:v>
      </x:c>
      <x:c r="I258" s="22" t="str">
        <x:f>HYPERLINK("https://etp-aktiv.ru/catalog/materialy/rezino-tekhnicheskie-izdeliya/2000000109-U411/","Открыть позицию")</x:f>
        <x:v>Открыть позицию</x:v>
      </x:c>
    </x:row>
    <x:row r="259" ht="28" customHeight="1">
      <x:c r="A259" s="16" t="str">
        <x:v>Ново-Кемеровская ТЭЦ</x:v>
      </x:c>
      <x:c r="B259" s="16" t="str">
        <x:v>2000000397-U411</x:v>
      </x:c>
      <x:c r="C259" s="16" t="str">
        <x:v>КОЛЬЦО УПЛОТНИТЕЛЬНОЕ 050-056-36-2-2</x:v>
      </x:c>
      <x:c r="D259" s="16" t="str">
        <x:v>Резино-технические изделия прочие</x:v>
      </x:c>
      <x:c r="E259" s="16" t="str">
        <x:v>ШТ</x:v>
      </x:c>
      <x:c r="F259" s="21" t="n">
        <x:v>2</x:v>
      </x:c>
      <x:c r="G259" s="17" t="n">
        <x:v>3.1109999999999998</x:v>
      </x:c>
      <x:c r="H259" s="17" t="n">
        <x:f>G259*F259</x:f>
        <x:v>6.2219999999999995</x:v>
      </x:c>
      <x:c r="I259" s="22" t="str">
        <x:f>HYPERLINK("https://etp-aktiv.ru/catalog/materialy/rezino-tekhnicheskie-izdeliya/2000000397-U411/","Открыть позицию")</x:f>
        <x:v>Открыть позицию</x:v>
      </x:c>
    </x:row>
    <x:row r="260" ht="28" customHeight="1">
      <x:c r="A260" s="16" t="str">
        <x:v>Ново-Кемеровская ТЭЦ</x:v>
      </x:c>
      <x:c r="B260" s="16" t="str">
        <x:v>2000539122-U411</x:v>
      </x:c>
      <x:c r="C260" s="16" t="str">
        <x:v>ЛЕНТА ЭМ-К 10*120</x:v>
      </x:c>
      <x:c r="D260" s="16" t="str">
        <x:v>Асбо-технические изделия</x:v>
      </x:c>
      <x:c r="E260" s="16" t="str">
        <x:v>М2</x:v>
      </x:c>
      <x:c r="F260" s="30" t="n">
        <x:v>0.5</x:v>
      </x:c>
      <x:c r="G260" s="17" t="n">
        <x:v>8275.5894</x:v>
      </x:c>
      <x:c r="H260" s="17" t="n">
        <x:f>G260*F260</x:f>
        <x:v>4137.7947</x:v>
      </x:c>
      <x:c r="I260" s="22" t="str">
        <x:f>HYPERLINK("https://etp-aktiv.ru/catalog/materialy/asbo-tekhnicheskie-izdeliya/2000539122-U411/","Открыть позицию")</x:f>
        <x:v>Открыть позицию</x:v>
      </x:c>
    </x:row>
    <x:row r="261" ht="28" customHeight="1">
      <x:c r="A261" s="16" t="str">
        <x:v>Ново-Кемеровская ТЭЦ</x:v>
      </x:c>
      <x:c r="B261" s="16" t="str">
        <x:v>2000546815-U411</x:v>
      </x:c>
      <x:c r="C261" s="16" t="str">
        <x:v>МАНЖЕТА 1,1-30*52-1 ГОСТ8752-79</x:v>
      </x:c>
      <x:c r="D261" s="16" t="str">
        <x:v>Резино-технические изделия прочие</x:v>
      </x:c>
      <x:c r="E261" s="16" t="str">
        <x:v>ШТ</x:v>
      </x:c>
      <x:c r="F261" s="21" t="n">
        <x:v>4</x:v>
      </x:c>
      <x:c r="G261" s="17" t="n">
        <x:v>3.7088</x:v>
      </x:c>
      <x:c r="H261" s="17" t="n">
        <x:f>G261*F261</x:f>
        <x:v>14.8352</x:v>
      </x:c>
      <x:c r="I261" s="22" t="str">
        <x:f>HYPERLINK("https://etp-aktiv.ru/catalog/materialy/rezino-tekhnicheskie-izdeliya/2000546815-U411/","Открыть позицию")</x:f>
        <x:v>Открыть позицию</x:v>
      </x:c>
    </x:row>
    <x:row r="262" ht="28" customHeight="1">
      <x:c r="A262" s="16" t="str">
        <x:v>Ново-Кемеровская ТЭЦ</x:v>
      </x:c>
      <x:c r="B262" s="16" t="str">
        <x:v>2000561765-U411</x:v>
      </x:c>
      <x:c r="C262" s="16" t="str">
        <x:v>МАНЖЕТА 1,1-50-68-1 ГОСТ8752</x:v>
      </x:c>
      <x:c r="D262" s="16" t="str">
        <x:v>Резино-технические изделия прочие</x:v>
      </x:c>
      <x:c r="E262" s="16" t="str">
        <x:v>ШТ</x:v>
      </x:c>
      <x:c r="F262" s="21" t="n">
        <x:v>7</x:v>
      </x:c>
      <x:c r="G262" s="17" t="n">
        <x:v>45.6036</x:v>
      </x:c>
      <x:c r="H262" s="17" t="n">
        <x:f>G262*F262</x:f>
        <x:v>319.2252</x:v>
      </x:c>
      <x:c r="I262" s="22" t="str">
        <x:f>HYPERLINK("https://etp-aktiv.ru/catalog/materialy/rezino-tekhnicheskie-izdeliya/2000561765-U411/","Открыть позицию")</x:f>
        <x:v>Открыть позицию</x:v>
      </x:c>
    </x:row>
    <x:row r="263" ht="28" customHeight="1">
      <x:c r="A263" s="16" t="str">
        <x:v>Ново-Кемеровская ТЭЦ</x:v>
      </x:c>
      <x:c r="B263" s="16" t="str">
        <x:v>2000294651-U411</x:v>
      </x:c>
      <x:c r="C263" s="16" t="str">
        <x:v>МАНЖЕТА 1,2-100*125-1 ГОСТ8752-79</x:v>
      </x:c>
      <x:c r="D263" s="16" t="str">
        <x:v>Резино-технические изделия прочие</x:v>
      </x:c>
      <x:c r="E263" s="16" t="str">
        <x:v>ШТ</x:v>
      </x:c>
      <x:c r="F263" s="21" t="n">
        <x:v>18</x:v>
      </x:c>
      <x:c r="G263" s="17" t="n">
        <x:v>23.3386</x:v>
      </x:c>
      <x:c r="H263" s="17" t="n">
        <x:f>G263*F263</x:f>
        <x:v>420.09479999999996</x:v>
      </x:c>
      <x:c r="I263" s="22" t="str">
        <x:f>HYPERLINK("https://etp-aktiv.ru/catalog/materialy/rezino-tekhnicheskie-izdeliya/2000294651-U411/","Открыть позицию")</x:f>
        <x:v>Открыть позицию</x:v>
      </x:c>
    </x:row>
    <x:row r="264" ht="28" customHeight="1">
      <x:c r="A264" s="16" t="str">
        <x:v>Ново-Кемеровская ТЭЦ</x:v>
      </x:c>
      <x:c r="B264" s="16" t="str">
        <x:v>2000546830-U411</x:v>
      </x:c>
      <x:c r="C264" s="16" t="str">
        <x:v>МАНЖЕТА 1,2-140*170-2 ГОСТ8752-79</x:v>
      </x:c>
      <x:c r="D264" s="16" t="str">
        <x:v>Резино-технические изделия прочие</x:v>
      </x:c>
      <x:c r="E264" s="16" t="str">
        <x:v>ШТ</x:v>
      </x:c>
      <x:c r="F264" s="21" t="n">
        <x:v>1</x:v>
      </x:c>
      <x:c r="G264" s="17" t="n">
        <x:v>57.6694</x:v>
      </x:c>
      <x:c r="H264" s="17" t="n">
        <x:f>G264*F264</x:f>
        <x:v>57.6694</x:v>
      </x:c>
      <x:c r="I264" s="22" t="str">
        <x:f>HYPERLINK("https://etp-aktiv.ru/catalog/materialy/rezino-tekhnicheskie-izdeliya/2000546830-U411/","Открыть позицию")</x:f>
        <x:v>Открыть позицию</x:v>
      </x:c>
    </x:row>
    <x:row r="265" ht="28" customHeight="1">
      <x:c r="A265" s="16" t="str">
        <x:v>Ново-Кемеровская ТЭЦ</x:v>
      </x:c>
      <x:c r="B265" s="16" t="str">
        <x:v>2000546833-U411</x:v>
      </x:c>
      <x:c r="C265" s="16" t="str">
        <x:v>МАНЖЕТА 1,2-170*200-1 ГОСТ8752-79</x:v>
      </x:c>
      <x:c r="D265" s="16" t="str">
        <x:v>Резино-технические изделия прочие</x:v>
      </x:c>
      <x:c r="E265" s="16" t="str">
        <x:v>ШТ</x:v>
      </x:c>
      <x:c r="F265" s="21" t="n">
        <x:v>10</x:v>
      </x:c>
      <x:c r="G265" s="17" t="n">
        <x:v>73.2488</x:v>
      </x:c>
      <x:c r="H265" s="17" t="n">
        <x:f>G265*F265</x:f>
        <x:v>732.488</x:v>
      </x:c>
      <x:c r="I265" s="22" t="str">
        <x:f>HYPERLINK("https://etp-aktiv.ru/catalog/materialy/rezino-tekhnicheskie-izdeliya/2000546833-U411/","Открыть позицию")</x:f>
        <x:v>Открыть позицию</x:v>
      </x:c>
    </x:row>
    <x:row r="266" ht="28" customHeight="1">
      <x:c r="A266" s="16" t="str">
        <x:v>Ново-Кемеровская ТЭЦ</x:v>
      </x:c>
      <x:c r="B266" s="16" t="str">
        <x:v>2000136549-U411</x:v>
      </x:c>
      <x:c r="C266" s="16" t="str">
        <x:v>МАНЖЕТА 1,2-170*200-2 ГОСТ8752-79</x:v>
      </x:c>
      <x:c r="D266" s="16" t="str">
        <x:v>Резино-технические изделия прочие</x:v>
      </x:c>
      <x:c r="E266" s="16" t="str">
        <x:v>ШТ</x:v>
      </x:c>
      <x:c r="F266" s="21" t="n">
        <x:v>5</x:v>
      </x:c>
      <x:c r="G266" s="17" t="n">
        <x:v>98.332</x:v>
      </x:c>
      <x:c r="H266" s="17" t="n">
        <x:f>G266*F266</x:f>
        <x:v>491.65999999999997</x:v>
      </x:c>
      <x:c r="I266" s="22" t="str">
        <x:f>HYPERLINK("https://etp-aktiv.ru/catalog/materialy/rezino-tekhnicheskie-izdeliya/2000136549-U411/","Открыть позицию")</x:f>
        <x:v>Открыть позицию</x:v>
      </x:c>
    </x:row>
    <x:row r="267" ht="28" customHeight="1">
      <x:c r="A267" s="16" t="str">
        <x:v>Ново-Кемеровская ТЭЦ</x:v>
      </x:c>
      <x:c r="B267" s="16" t="str">
        <x:v>2000000652-U411</x:v>
      </x:c>
      <x:c r="C267" s="16" t="str">
        <x:v>МАНЖЕТА 1,2-25*42-1 ГОСТ8752-79</x:v>
      </x:c>
      <x:c r="D267" s="16" t="str">
        <x:v>Резино-технические изделия прочие</x:v>
      </x:c>
      <x:c r="E267" s="16" t="str">
        <x:v>ШТ</x:v>
      </x:c>
      <x:c r="F267" s="21" t="n">
        <x:v>2</x:v>
      </x:c>
      <x:c r="G267" s="17" t="n">
        <x:v>8.4424</x:v>
      </x:c>
      <x:c r="H267" s="17" t="n">
        <x:f>G267*F267</x:f>
        <x:v>16.8848</x:v>
      </x:c>
      <x:c r="I267" s="22" t="str">
        <x:f>HYPERLINK("https://etp-aktiv.ru/catalog/materialy/rezino-tekhnicheskie-izdeliya/2000000652-U411/","Открыть позицию")</x:f>
        <x:v>Открыть позицию</x:v>
      </x:c>
    </x:row>
    <x:row r="268" ht="28" customHeight="1">
      <x:c r="A268" s="16" t="str">
        <x:v>Ново-Кемеровская ТЭЦ</x:v>
      </x:c>
      <x:c r="B268" s="16" t="str">
        <x:v>2000546849-U411</x:v>
      </x:c>
      <x:c r="C268" s="16" t="str">
        <x:v>МАНЖЕТА 1,2-38*58-10 ГОСТ8752-79</x:v>
      </x:c>
      <x:c r="D268" s="16" t="str">
        <x:v>Резино-технические изделия прочие</x:v>
      </x:c>
      <x:c r="E268" s="16" t="str">
        <x:v>ШТ</x:v>
      </x:c>
      <x:c r="F268" s="21" t="n">
        <x:v>4</x:v>
      </x:c>
      <x:c r="G268" s="17" t="n">
        <x:v>14.2496</x:v>
      </x:c>
      <x:c r="H268" s="17" t="n">
        <x:f>G268*F268</x:f>
        <x:v>56.9984</x:v>
      </x:c>
      <x:c r="I268" s="22" t="str">
        <x:f>HYPERLINK("https://etp-aktiv.ru/catalog/materialy/rezino-tekhnicheskie-izdeliya/2000546849-U411/","Открыть позицию")</x:f>
        <x:v>Открыть позицию</x:v>
      </x:c>
    </x:row>
    <x:row r="269" ht="28" customHeight="1">
      <x:c r="A269" s="16" t="str">
        <x:v>Ново-Кемеровская ТЭЦ</x:v>
      </x:c>
      <x:c r="B269" s="16" t="str">
        <x:v>2000546850-U411</x:v>
      </x:c>
      <x:c r="C269" s="16" t="str">
        <x:v>МАНЖЕТА 1,2-45*65-1 ГОСТ8752-79</x:v>
      </x:c>
      <x:c r="D269" s="16" t="str">
        <x:v>Резино-технические изделия прочие</x:v>
      </x:c>
      <x:c r="E269" s="16" t="str">
        <x:v>ШТ</x:v>
      </x:c>
      <x:c r="F269" s="21" t="n">
        <x:v>2</x:v>
      </x:c>
      <x:c r="G269" s="17" t="n">
        <x:v>4.1236</x:v>
      </x:c>
      <x:c r="H269" s="17" t="n">
        <x:f>G269*F269</x:f>
        <x:v>8.2472</x:v>
      </x:c>
      <x:c r="I269" s="22" t="str">
        <x:f>HYPERLINK("https://etp-aktiv.ru/catalog/materialy/rezino-tekhnicheskie-izdeliya/2000546850-U411/","Открыть позицию")</x:f>
        <x:v>Открыть позицию</x:v>
      </x:c>
    </x:row>
    <x:row r="270" ht="28" customHeight="1">
      <x:c r="A270" s="16" t="str">
        <x:v>Ново-Кемеровская ТЭЦ</x:v>
      </x:c>
      <x:c r="B270" s="16" t="str">
        <x:v>2000145865-U411</x:v>
      </x:c>
      <x:c r="C270" s="16" t="str">
        <x:v>МАНЖЕТА 1,2-85*110-1 ГОСТ8752-79</x:v>
      </x:c>
      <x:c r="D270" s="16" t="str">
        <x:v>Резино-технические изделия прочие</x:v>
      </x:c>
      <x:c r="E270" s="16" t="str">
        <x:v>ШТ</x:v>
      </x:c>
      <x:c r="F270" s="21" t="n">
        <x:v>14</x:v>
      </x:c>
      <x:c r="G270" s="17" t="n">
        <x:v>18.3976</x:v>
      </x:c>
      <x:c r="H270" s="17" t="n">
        <x:f>G270*F270</x:f>
        <x:v>257.5664</x:v>
      </x:c>
      <x:c r="I270" s="22" t="str">
        <x:f>HYPERLINK("https://etp-aktiv.ru/catalog/materialy/rezino-tekhnicheskie-izdeliya/2000145865-U411/","Открыть позицию")</x:f>
        <x:v>Открыть позицию</x:v>
      </x:c>
    </x:row>
    <x:row r="271" ht="28" customHeight="1">
      <x:c r="A271" s="16" t="str">
        <x:v>Ново-Кемеровская ТЭЦ</x:v>
      </x:c>
      <x:c r="B271" s="16" t="str">
        <x:v>2000546743-U411</x:v>
      </x:c>
      <x:c r="C271" s="16" t="str">
        <x:v>МАНЖЕТА 12*24-1 ГОСТ22704-77</x:v>
      </x:c>
      <x:c r="D271" s="16" t="str">
        <x:v>Резино-технические изделия прочие</x:v>
      </x:c>
      <x:c r="E271" s="16" t="str">
        <x:v>ШТ</x:v>
      </x:c>
      <x:c r="F271" s="21" t="n">
        <x:v>570</x:v>
      </x:c>
      <x:c r="G271" s="17" t="n">
        <x:v>7.869</x:v>
      </x:c>
      <x:c r="H271" s="17" t="n">
        <x:f>G271*F271</x:f>
        <x:v>4485.33</x:v>
      </x:c>
      <x:c r="I271" s="22" t="str">
        <x:f>HYPERLINK("https://etp-aktiv.ru/catalog/materialy/rezino-tekhnicheskie-izdeliya/2000546743-U411/","Открыть позицию")</x:f>
        <x:v>Открыть позицию</x:v>
      </x:c>
    </x:row>
    <x:row r="272" ht="28" customHeight="1">
      <x:c r="A272" s="16" t="str">
        <x:v>Ново-Кемеровская ТЭЦ</x:v>
      </x:c>
      <x:c r="B272" s="16" t="str">
        <x:v>2000000912-U411</x:v>
      </x:c>
      <x:c r="C272" s="16" t="str">
        <x:v>МАНЖЕТА 2,2-40*60-2 ГОСТ8752-79</x:v>
      </x:c>
      <x:c r="D272" s="16" t="str">
        <x:v>Резино-технические изделия прочие</x:v>
      </x:c>
      <x:c r="E272" s="16" t="str">
        <x:v>ШТ</x:v>
      </x:c>
      <x:c r="F272" s="21" t="n">
        <x:v>2</x:v>
      </x:c>
      <x:c r="G272" s="17" t="n">
        <x:v>11.223999999999998</x:v>
      </x:c>
      <x:c r="H272" s="17" t="n">
        <x:f>G272*F272</x:f>
        <x:v>22.447999999999997</x:v>
      </x:c>
      <x:c r="I272" s="22" t="str">
        <x:f>HYPERLINK("https://etp-aktiv.ru/catalog/materialy/rezino-tekhnicheskie-izdeliya/2000000912-U411/","Открыть позицию")</x:f>
        <x:v>Открыть позицию</x:v>
      </x:c>
    </x:row>
    <x:row r="273" ht="28" customHeight="1">
      <x:c r="A273" s="16" t="str">
        <x:v>Ново-Кемеровская ТЭЦ</x:v>
      </x:c>
      <x:c r="B273" s="16" t="str">
        <x:v>2000546738-U411</x:v>
      </x:c>
      <x:c r="C273" s="16" t="str">
        <x:v>МАНЖЕТА 2,2-50*70-1 ГОСТ8752-79</x:v>
      </x:c>
      <x:c r="D273" s="16" t="str">
        <x:v>Резино-технические изделия прочие</x:v>
      </x:c>
      <x:c r="E273" s="16" t="str">
        <x:v>ШТ</x:v>
      </x:c>
      <x:c r="F273" s="21" t="n">
        <x:v>9</x:v>
      </x:c>
      <x:c r="G273" s="17" t="n">
        <x:v>11.9438</x:v>
      </x:c>
      <x:c r="H273" s="17" t="n">
        <x:f>G273*F273</x:f>
        <x:v>107.49419999999999</x:v>
      </x:c>
      <x:c r="I273" s="22" t="str">
        <x:f>HYPERLINK("https://etp-aktiv.ru/catalog/materialy/rezino-tekhnicheskie-izdeliya/2000546738-U411/","Открыть позицию")</x:f>
        <x:v>Открыть позицию</x:v>
      </x:c>
    </x:row>
    <x:row r="274" ht="28" customHeight="1">
      <x:c r="A274" s="16" t="str">
        <x:v>Ново-Кемеровская ТЭЦ</x:v>
      </x:c>
      <x:c r="B274" s="16" t="str">
        <x:v>2000561770-U411</x:v>
      </x:c>
      <x:c r="C274" s="16" t="str">
        <x:v>МАНЖЕТА 2,2-50*70-2 ГОСТ8752</x:v>
      </x:c>
      <x:c r="D274" s="16" t="str">
        <x:v>Резино-технические изделия прочие</x:v>
      </x:c>
      <x:c r="E274" s="16" t="str">
        <x:v>ШТ</x:v>
      </x:c>
      <x:c r="F274" s="21" t="n">
        <x:v>1</x:v>
      </x:c>
      <x:c r="G274" s="17" t="n">
        <x:v>7.4786</x:v>
      </x:c>
      <x:c r="H274" s="17" t="n">
        <x:f>G274*F274</x:f>
        <x:v>7.4786</x:v>
      </x:c>
      <x:c r="I274" s="22" t="str">
        <x:f>HYPERLINK("https://etp-aktiv.ru/catalog/materialy/rezino-tekhnicheskie-izdeliya/2000561770-U411/","Открыть позицию")</x:f>
        <x:v>Открыть позицию</x:v>
      </x:c>
    </x:row>
    <x:row r="275" ht="28" customHeight="1">
      <x:c r="A275" s="16" t="str">
        <x:v>Ново-Кемеровская ТЭЦ</x:v>
      </x:c>
      <x:c r="B275" s="16" t="str">
        <x:v>2000145163-U411</x:v>
      </x:c>
      <x:c r="C275" s="16" t="str">
        <x:v>МАНЖЕТА 2,2-85*110-12 ГОСТ8752-82</x:v>
      </x:c>
      <x:c r="D275" s="16" t="str">
        <x:v>Резино-технические изделия прочие</x:v>
      </x:c>
      <x:c r="E275" s="16" t="str">
        <x:v>ШТ</x:v>
      </x:c>
      <x:c r="F275" s="21" t="n">
        <x:v>1</x:v>
      </x:c>
      <x:c r="G275" s="17" t="n">
        <x:v>30.8904</x:v>
      </x:c>
      <x:c r="H275" s="17" t="n">
        <x:f>G275*F275</x:f>
        <x:v>30.8904</x:v>
      </x:c>
      <x:c r="I275" s="22" t="str">
        <x:f>HYPERLINK("https://etp-aktiv.ru/catalog/materialy/rezino-tekhnicheskie-izdeliya/2000145163-U411/","Открыть позицию")</x:f>
        <x:v>Открыть позицию</x:v>
      </x:c>
    </x:row>
    <x:row r="276" ht="28" customHeight="1">
      <x:c r="A276" s="16" t="str">
        <x:v>Ново-Кемеровская ТЭЦ</x:v>
      </x:c>
      <x:c r="B276" s="16" t="str">
        <x:v>2000546747-U411</x:v>
      </x:c>
      <x:c r="C276" s="16" t="str">
        <x:v>МАНЖЕТА М 60*80 ГОСТ22704-77</x:v>
      </x:c>
      <x:c r="D276" s="16" t="str">
        <x:v>Резино-технические изделия прочие</x:v>
      </x:c>
      <x:c r="E276" s="16" t="str">
        <x:v>ШТ</x:v>
      </x:c>
      <x:c r="F276" s="21" t="n">
        <x:v>100</x:v>
      </x:c>
      <x:c r="G276" s="17" t="n">
        <x:v>21.679399999999998</x:v>
      </x:c>
      <x:c r="H276" s="17" t="n">
        <x:f>G276*F276</x:f>
        <x:v>2167.9399999999996</x:v>
      </x:c>
      <x:c r="I276" s="22" t="str">
        <x:f>HYPERLINK("https://etp-aktiv.ru/catalog/materialy/rezino-tekhnicheskie-izdeliya/2000546747-U411/","Открыть позицию")</x:f>
        <x:v>Открыть позицию</x:v>
      </x:c>
    </x:row>
    <x:row r="277" ht="28" customHeight="1">
      <x:c r="A277" s="16" t="str">
        <x:v>Ново-Кемеровская ТЭЦ</x:v>
      </x:c>
      <x:c r="B277" s="16" t="str">
        <x:v>2000190904-U411</x:v>
      </x:c>
      <x:c r="C277" s="16" t="str">
        <x:v>МАТЫ МТПЭ 1-75-2000-1000*100</x:v>
      </x:c>
      <x:c r="D277" s="16" t="str">
        <x:v>Теплоизоляция</x:v>
      </x:c>
      <x:c r="E277" s="16" t="str">
        <x:v>М3</x:v>
      </x:c>
      <x:c r="F277" s="29" t="n">
        <x:v>5.393</x:v>
      </x:c>
      <x:c r="G277" s="17" t="n">
        <x:v>5146.57</x:v>
      </x:c>
      <x:c r="H277" s="17" t="n">
        <x:f>G277*F277</x:f>
        <x:v>27755.452009999997</x:v>
      </x:c>
      <x:c r="I277" s="22" t="str">
        <x:f>HYPERLINK("https://etp-aktiv.ru/catalog/materialy/teploizolyaciya/2000190904-U411/","Открыть позицию")</x:f>
        <x:v>Открыть позицию</x:v>
      </x:c>
    </x:row>
    <x:row r="278" ht="28" customHeight="1">
      <x:c r="A278" s="16" t="str">
        <x:v>Ново-Кемеровская ТЭЦ</x:v>
      </x:c>
      <x:c r="B278" s="16" t="str">
        <x:v>2000141018-U411</x:v>
      </x:c>
      <x:c r="C278" s="16" t="str">
        <x:v>НАБИВКА 200М 12*12</x:v>
      </x:c>
      <x:c r="D278" s="16" t="str">
        <x:v>Асбо-технические изделия</x:v>
      </x:c>
      <x:c r="E278" s="16" t="str">
        <x:v>КГ</x:v>
      </x:c>
      <x:c r="F278" s="29" t="n">
        <x:v>108.72</x:v>
      </x:c>
      <x:c r="G278" s="17" t="n">
        <x:v>307.4156</x:v>
      </x:c>
      <x:c r="H278" s="17" t="n">
        <x:f>G278*F278</x:f>
        <x:v>33422.224032</x:v>
      </x:c>
      <x:c r="I278" s="22" t="str">
        <x:f>HYPERLINK("https://etp-aktiv.ru/catalog/materialy/asbo-tekhnicheskie-izdeliya/2000141018-U411/","Открыть позицию")</x:f>
        <x:v>Открыть позицию</x:v>
      </x:c>
    </x:row>
    <x:row r="279" ht="28" customHeight="1">
      <x:c r="A279" s="16" t="str">
        <x:v>Ново-Кемеровская ТЭЦ</x:v>
      </x:c>
      <x:c r="B279" s="16" t="str">
        <x:v>2000539151-U411</x:v>
      </x:c>
      <x:c r="C279" s="16" t="str">
        <x:v>НАБИВКА URTEX Н 1200 8*8</x:v>
      </x:c>
      <x:c r="D279" s="16" t="str">
        <x:v>Асбо-технические изделия</x:v>
      </x:c>
      <x:c r="E279" s="16" t="str">
        <x:v>КГ</x:v>
      </x:c>
      <x:c r="F279" s="21" t="n">
        <x:v>17</x:v>
      </x:c>
      <x:c r="G279" s="17" t="n">
        <x:v>242.475</x:v>
      </x:c>
      <x:c r="H279" s="17" t="n">
        <x:f>G279*F279</x:f>
        <x:v>4122.075</x:v>
      </x:c>
      <x:c r="I279" s="22" t="str">
        <x:f>HYPERLINK("https://etp-aktiv.ru/catalog/materialy/asbo-tekhnicheskie-izdeliya/2000539151-U411/","Открыть позицию")</x:f>
        <x:v>Открыть позицию</x:v>
      </x:c>
    </x:row>
    <x:row r="280" ht="28" customHeight="1">
      <x:c r="A280" s="16" t="str">
        <x:v>Ново-Кемеровская ТЭЦ</x:v>
      </x:c>
      <x:c r="B280" s="16" t="str">
        <x:v>2000165125-U411</x:v>
      </x:c>
      <x:c r="C280" s="16" t="str">
        <x:v>НАБИВКА АГИ 10*10ММ ГОСТ5152-84</x:v>
      </x:c>
      <x:c r="D280" s="16" t="str">
        <x:v>Асбо-технические изделия</x:v>
      </x:c>
      <x:c r="E280" s="16" t="str">
        <x:v>КГ</x:v>
      </x:c>
      <x:c r="F280" s="21" t="n">
        <x:v>3</x:v>
      </x:c>
      <x:c r="G280" s="17" t="n">
        <x:v>470.127</x:v>
      </x:c>
      <x:c r="H280" s="17" t="n">
        <x:f>G280*F280</x:f>
        <x:v>1410.381</x:v>
      </x:c>
      <x:c r="I280" s="22" t="str">
        <x:f>HYPERLINK("https://etp-aktiv.ru/catalog/materialy/asbo-tekhnicheskie-izdeliya/2000165125-U411/","Открыть позицию")</x:f>
        <x:v>Открыть позицию</x:v>
      </x:c>
    </x:row>
    <x:row r="281" ht="28" customHeight="1">
      <x:c r="A281" s="16" t="str">
        <x:v>Ново-Кемеровская ТЭЦ</x:v>
      </x:c>
      <x:c r="B281" s="16" t="str">
        <x:v>2000157558-U411</x:v>
      </x:c>
      <x:c r="C281" s="16" t="str">
        <x:v>НАБИВКА АГИ 14*14ММ</x:v>
      </x:c>
      <x:c r="D281" s="16" t="str">
        <x:v>Асбо-технические изделия</x:v>
      </x:c>
      <x:c r="E281" s="16" t="str">
        <x:v>КГ</x:v>
      </x:c>
      <x:c r="F281" s="29" t="n">
        <x:v>9.5</x:v>
      </x:c>
      <x:c r="G281" s="17" t="n">
        <x:v>329.18039999999996</x:v>
      </x:c>
      <x:c r="H281" s="17" t="n">
        <x:f>G281*F281</x:f>
        <x:v>3127.2137999999995</x:v>
      </x:c>
      <x:c r="I281" s="22" t="str">
        <x:f>HYPERLINK("https://etp-aktiv.ru/catalog/materialy/asbo-tekhnicheskie-izdeliya/2000157558-U411/","Открыть позицию")</x:f>
        <x:v>Открыть позицию</x:v>
      </x:c>
    </x:row>
    <x:row r="282" ht="28" customHeight="1">
      <x:c r="A282" s="16" t="str">
        <x:v>Ново-Кемеровская ТЭЦ</x:v>
      </x:c>
      <x:c r="B282" s="16" t="str">
        <x:v>2000165126-U411</x:v>
      </x:c>
      <x:c r="C282" s="16" t="str">
        <x:v>НАБИВКА АПР-31 19*19ММ</x:v>
      </x:c>
      <x:c r="D282" s="16" t="str">
        <x:v>Асбо-технические изделия</x:v>
      </x:c>
      <x:c r="E282" s="16" t="str">
        <x:v>КГ</x:v>
      </x:c>
      <x:c r="F282" s="21" t="n">
        <x:v>30</x:v>
      </x:c>
      <x:c r="G282" s="17" t="n">
        <x:v>449.997</x:v>
      </x:c>
      <x:c r="H282" s="17" t="n">
        <x:f>G282*F282</x:f>
        <x:v>13499.91</x:v>
      </x:c>
      <x:c r="I282" s="22" t="str">
        <x:f>HYPERLINK("https://etp-aktiv.ru/catalog/materialy/asbo-tekhnicheskie-izdeliya/2000165126-U411/","Открыть позицию")</x:f>
        <x:v>Открыть позицию</x:v>
      </x:c>
    </x:row>
    <x:row r="283" ht="28" customHeight="1">
      <x:c r="A283" s="16" t="str">
        <x:v>Ново-Кемеровская ТЭЦ</x:v>
      </x:c>
      <x:c r="B283" s="16" t="str">
        <x:v>2000140976-U411</x:v>
      </x:c>
      <x:c r="C283" s="16" t="str">
        <x:v>НАБИВКА АПР-31 19ММ</x:v>
      </x:c>
      <x:c r="D283" s="16" t="str">
        <x:v>Асбо-технические изд</x:v>
      </x:c>
      <x:c r="E283" s="16" t="str">
        <x:v>КГ</x:v>
      </x:c>
      <x:c r="F283" s="29" t="n">
        <x:v>15.3</x:v>
      </x:c>
      <x:c r="G283" s="17" t="n">
        <x:v>40.626</x:v>
      </x:c>
      <x:c r="H283" s="17" t="n">
        <x:f>G283*F283</x:f>
        <x:v>621.5778</x:v>
      </x:c>
      <x:c r="I283" s="22" t="str">
        <x:f>HYPERLINK("https://etp-aktiv.ru/catalog/materialy/asbo-tekhnicheskie-izdeliya/2000140976-U411/","Открыть позицию")</x:f>
        <x:v>Открыть позицию</x:v>
      </x:c>
    </x:row>
    <x:row r="284" ht="28" customHeight="1">
      <x:c r="A284" s="16" t="str">
        <x:v>Ново-Кемеровская ТЭЦ</x:v>
      </x:c>
      <x:c r="B284" s="16" t="str">
        <x:v>2000031519-U411</x:v>
      </x:c>
      <x:c r="C284" s="16" t="str">
        <x:v>НАБИВКА АС 10ММ</x:v>
      </x:c>
      <x:c r="D284" s="16" t="str">
        <x:v>Асбо-технические изд</x:v>
      </x:c>
      <x:c r="E284" s="16" t="str">
        <x:v>КГ</x:v>
      </x:c>
      <x:c r="F284" s="29" t="n">
        <x:v>26.5</x:v>
      </x:c>
      <x:c r="G284" s="17" t="n">
        <x:v>88.23039999999999</x:v>
      </x:c>
      <x:c r="H284" s="17" t="n">
        <x:f>G284*F284</x:f>
        <x:v>2338.1056</x:v>
      </x:c>
      <x:c r="I284" s="22" t="str">
        <x:f>HYPERLINK("https://etp-aktiv.ru/catalog/materialy/asbo-tekhnicheskie-izdeliya/2000031519-U411/","Открыть позицию")</x:f>
        <x:v>Открыть позицию</x:v>
      </x:c>
    </x:row>
    <x:row r="285" ht="28" customHeight="1">
      <x:c r="A285" s="16" t="str">
        <x:v>Ново-Кемеровская ТЭЦ</x:v>
      </x:c>
      <x:c r="B285" s="16" t="str">
        <x:v>2000031521-U411</x:v>
      </x:c>
      <x:c r="C285" s="16" t="str">
        <x:v>НАБИВКА АС 14ММ</x:v>
      </x:c>
      <x:c r="D285" s="16" t="str">
        <x:v>Асбо-технические изделия</x:v>
      </x:c>
      <x:c r="E285" s="16" t="str">
        <x:v>КГ</x:v>
      </x:c>
      <x:c r="F285" s="29" t="n">
        <x:v>43.4</x:v>
      </x:c>
      <x:c r="G285" s="17" t="n">
        <x:v>127.2704</x:v>
      </x:c>
      <x:c r="H285" s="17" t="n">
        <x:f>G285*F285</x:f>
        <x:v>5523.53536</x:v>
      </x:c>
      <x:c r="I285" s="22" t="str">
        <x:f>HYPERLINK("https://etp-aktiv.ru/catalog/materialy/asbo-tekhnicheskie-izdeliya/2000031521-U411/","Открыть позицию")</x:f>
        <x:v>Открыть позицию</x:v>
      </x:c>
    </x:row>
    <x:row r="286" ht="28" customHeight="1">
      <x:c r="A286" s="16" t="str">
        <x:v>Ново-Кемеровская ТЭЦ</x:v>
      </x:c>
      <x:c r="B286" s="16" t="str">
        <x:v>2000165250-U411</x:v>
      </x:c>
      <x:c r="C286" s="16" t="str">
        <x:v>НАБИВКА АС 16*16ММ</x:v>
      </x:c>
      <x:c r="D286" s="16" t="str">
        <x:v>Асбо-технические изделия</x:v>
      </x:c>
      <x:c r="E286" s="16" t="str">
        <x:v>КГ</x:v>
      </x:c>
      <x:c r="F286" s="29" t="n">
        <x:v>18.9</x:v>
      </x:c>
      <x:c r="G286" s="17" t="n">
        <x:v>79.7392</x:v>
      </x:c>
      <x:c r="H286" s="17" t="n">
        <x:f>G286*F286</x:f>
        <x:v>1507.0708799999998</x:v>
      </x:c>
      <x:c r="I286" s="22" t="str">
        <x:f>HYPERLINK("https://etp-aktiv.ru/catalog/materialy/asbo-tekhnicheskie-izdeliya/2000165250-U411/","Открыть позицию")</x:f>
        <x:v>Открыть позицию</x:v>
      </x:c>
    </x:row>
    <x:row r="287" ht="28" customHeight="1">
      <x:c r="A287" s="16" t="str">
        <x:v>Ново-Кемеровская ТЭЦ</x:v>
      </x:c>
      <x:c r="B287" s="16" t="str">
        <x:v>2000274651-U411</x:v>
      </x:c>
      <x:c r="C287" s="16" t="str">
        <x:v>НАБИВКА ГРАФЛЕКС Н-1201 4*4</x:v>
      </x:c>
      <x:c r="D287" s="16" t="str">
        <x:v>Асбо-технические изделия</x:v>
      </x:c>
      <x:c r="E287" s="16" t="str">
        <x:v>КГ</x:v>
      </x:c>
      <x:c r="F287" s="21" t="n">
        <x:v>5</x:v>
      </x:c>
      <x:c r="G287" s="17" t="n">
        <x:v>1119.0937999999999</x:v>
      </x:c>
      <x:c r="H287" s="17" t="n">
        <x:f>G287*F287</x:f>
        <x:v>5595.468999999999</x:v>
      </x:c>
      <x:c r="I287" s="22" t="str">
        <x:f>HYPERLINK("https://etp-aktiv.ru/catalog/materialy/asbo-tekhnicheskie-izdeliya/2000274651-U411/","Открыть позицию")</x:f>
        <x:v>Открыть позицию</x:v>
      </x:c>
    </x:row>
    <x:row r="288" ht="28" customHeight="1">
      <x:c r="A288" s="16" t="str">
        <x:v>Ново-Кемеровская ТЭЦ</x:v>
      </x:c>
      <x:c r="B288" s="16" t="str">
        <x:v>2000031543-U411</x:v>
      </x:c>
      <x:c r="C288" s="16" t="str">
        <x:v>НАБИВКА ЛП 10ММ</x:v>
      </x:c>
      <x:c r="D288" s="16" t="str">
        <x:v>Асбо-технические изделия</x:v>
      </x:c>
      <x:c r="E288" s="16" t="str">
        <x:v>КГ</x:v>
      </x:c>
      <x:c r="F288" s="29" t="n">
        <x:v>113.575</x:v>
      </x:c>
      <x:c r="G288" s="17" t="n">
        <x:v>140.8978</x:v>
      </x:c>
      <x:c r="H288" s="17" t="n">
        <x:f>G288*F288</x:f>
        <x:v>16002.467634999999</x:v>
      </x:c>
      <x:c r="I288" s="22" t="str">
        <x:f>HYPERLINK("https://etp-aktiv.ru/catalog/materialy/asbo-tekhnicheskie-izdeliya/2000031543-U411/","Открыть позицию")</x:f>
        <x:v>Открыть позицию</x:v>
      </x:c>
    </x:row>
    <x:row r="289" ht="28" customHeight="1">
      <x:c r="A289" s="16" t="str">
        <x:v>Ново-Кемеровская ТЭЦ</x:v>
      </x:c>
      <x:c r="B289" s="16" t="str">
        <x:v>2000031544-U411</x:v>
      </x:c>
      <x:c r="C289" s="16" t="str">
        <x:v>НАБИВКА ЛП 12ММ</x:v>
      </x:c>
      <x:c r="D289" s="16" t="str">
        <x:v>Асбо-технические изделия</x:v>
      </x:c>
      <x:c r="E289" s="16" t="str">
        <x:v>КГ</x:v>
      </x:c>
      <x:c r="F289" s="21" t="n">
        <x:v>11</x:v>
      </x:c>
      <x:c r="G289" s="17" t="n">
        <x:v>316.3582</x:v>
      </x:c>
      <x:c r="H289" s="17" t="n">
        <x:f>G289*F289</x:f>
        <x:v>3479.9402</x:v>
      </x:c>
      <x:c r="I289" s="22" t="str">
        <x:f>HYPERLINK("https://etp-aktiv.ru/catalog/materialy/asbo-tekhnicheskie-izdeliya/2000031544-U411/","Открыть позицию")</x:f>
        <x:v>Открыть позицию</x:v>
      </x:c>
    </x:row>
    <x:row r="290" ht="28" customHeight="1">
      <x:c r="A290" s="16" t="str">
        <x:v>Ново-Кемеровская ТЭЦ</x:v>
      </x:c>
      <x:c r="B290" s="16" t="str">
        <x:v>2000031545-U411</x:v>
      </x:c>
      <x:c r="C290" s="16" t="str">
        <x:v>НАБИВКА ЛП 14ММ</x:v>
      </x:c>
      <x:c r="D290" s="16" t="str">
        <x:v>Асбо-технические изделия</x:v>
      </x:c>
      <x:c r="E290" s="16" t="str">
        <x:v>КГ</x:v>
      </x:c>
      <x:c r="F290" s="21" t="n">
        <x:v>8</x:v>
      </x:c>
      <x:c r="G290" s="17" t="n">
        <x:v>449.997</x:v>
      </x:c>
      <x:c r="H290" s="17" t="n">
        <x:f>G290*F290</x:f>
        <x:v>3599.976</x:v>
      </x:c>
      <x:c r="I290" s="22" t="str">
        <x:f>HYPERLINK("https://etp-aktiv.ru/catalog/materialy/asbo-tekhnicheskie-izdeliya/2000031545-U411/","Открыть позицию")</x:f>
        <x:v>Открыть позицию</x:v>
      </x:c>
    </x:row>
    <x:row r="291" ht="28" customHeight="1">
      <x:c r="A291" s="16" t="str">
        <x:v>Ново-Кемеровская ТЭЦ</x:v>
      </x:c>
      <x:c r="B291" s="16" t="str">
        <x:v>2000031549-U411</x:v>
      </x:c>
      <x:c r="C291" s="16" t="str">
        <x:v>НАБИВКА ЛП 16ММ</x:v>
      </x:c>
      <x:c r="D291" s="16" t="str">
        <x:v>Асбо-технические изделия</x:v>
      </x:c>
      <x:c r="E291" s="16" t="str">
        <x:v>КГ</x:v>
      </x:c>
      <x:c r="F291" s="29" t="n">
        <x:v>21.395</x:v>
      </x:c>
      <x:c r="G291" s="17" t="n">
        <x:v>113.582</x:v>
      </x:c>
      <x:c r="H291" s="17" t="n">
        <x:f>G291*F291</x:f>
        <x:v>2430.08689</x:v>
      </x:c>
      <x:c r="I291" s="22" t="str">
        <x:f>HYPERLINK("https://etp-aktiv.ru/catalog/materialy/asbo-tekhnicheskie-izdeliya/2000031549-U411/","Открыть позицию")</x:f>
        <x:v>Открыть позицию</x:v>
      </x:c>
    </x:row>
    <x:row r="292" ht="28" customHeight="1">
      <x:c r="A292" s="16" t="str">
        <x:v>Ново-Кемеровская ТЭЦ</x:v>
      </x:c>
      <x:c r="B292" s="16" t="str">
        <x:v>2000157672-U411</x:v>
      </x:c>
      <x:c r="C292" s="16" t="str">
        <x:v>НАБИВКА ЛП-31 12*12ММ</x:v>
      </x:c>
      <x:c r="D292" s="16" t="str">
        <x:v>Асбо-технические изделия</x:v>
      </x:c>
      <x:c r="E292" s="16" t="str">
        <x:v>КГ</x:v>
      </x:c>
      <x:c r="F292" s="29" t="n">
        <x:v>14.1</x:v>
      </x:c>
      <x:c r="G292" s="17" t="n">
        <x:v>141.154</x:v>
      </x:c>
      <x:c r="H292" s="17" t="n">
        <x:f>G292*F292</x:f>
        <x:v>1990.2713999999999</x:v>
      </x:c>
      <x:c r="I292" s="22" t="str">
        <x:f>HYPERLINK("https://etp-aktiv.ru/catalog/materialy/asbo-tekhnicheskie-izdeliya/2000157672-U411/","Открыть позицию")</x:f>
        <x:v>Открыть позицию</x:v>
      </x:c>
    </x:row>
    <x:row r="293" ht="28" customHeight="1">
      <x:c r="A293" s="16" t="str">
        <x:v>Ново-Кемеровская ТЭЦ</x:v>
      </x:c>
      <x:c r="B293" s="16" t="str">
        <x:v>2000539233-U411</x:v>
      </x:c>
      <x:c r="C293" s="16" t="str">
        <x:v>НАБИВКА ЛП-31 18*18</x:v>
      </x:c>
      <x:c r="D293" s="16" t="str">
        <x:v>Асбо-технические изделия</x:v>
      </x:c>
      <x:c r="E293" s="16" t="str">
        <x:v>КГ</x:v>
      </x:c>
      <x:c r="F293" s="29" t="n">
        <x:v>123.9</x:v>
      </x:c>
      <x:c r="G293" s="17" t="n">
        <x:v>156.29420000000002</x:v>
      </x:c>
      <x:c r="H293" s="17" t="n">
        <x:f>G293*F293</x:f>
        <x:v>19364.851380000004</x:v>
      </x:c>
      <x:c r="I293" s="22" t="str">
        <x:f>HYPERLINK("https://etp-aktiv.ru/catalog/materialy/asbo-tekhnicheskie-izdeliya/2000539233-U411/","Открыть позицию")</x:f>
        <x:v>Открыть позицию</x:v>
      </x:c>
    </x:row>
    <x:row r="294" ht="28" customHeight="1">
      <x:c r="A294" s="16" t="str">
        <x:v>Ново-Кемеровская ТЭЦ</x:v>
      </x:c>
      <x:c r="B294" s="16" t="str">
        <x:v>2000165066-U411</x:v>
      </x:c>
      <x:c r="C294" s="16" t="str">
        <x:v>НАБИВКА ЛП-31 19*19ММ</x:v>
      </x:c>
      <x:c r="D294" s="16" t="str">
        <x:v>Асбо-технические изделия</x:v>
      </x:c>
      <x:c r="E294" s="16" t="str">
        <x:v>КГ</x:v>
      </x:c>
      <x:c r="F294" s="21" t="n">
        <x:v>3</x:v>
      </x:c>
      <x:c r="G294" s="17" t="n">
        <x:v>336.71999999999997</x:v>
      </x:c>
      <x:c r="H294" s="17" t="n">
        <x:f>G294*F294</x:f>
        <x:v>1010.1599999999999</x:v>
      </x:c>
      <x:c r="I294" s="22" t="str">
        <x:f>HYPERLINK("https://etp-aktiv.ru/catalog/materialy/asbo-tekhnicheskie-izdeliya/2000165066-U411/","Открыть позицию")</x:f>
        <x:v>Открыть позицию</x:v>
      </x:c>
    </x:row>
    <x:row r="295" ht="28" customHeight="1">
      <x:c r="A295" s="16" t="str">
        <x:v>Ново-Кемеровская ТЭЦ</x:v>
      </x:c>
      <x:c r="B295" s="16" t="str">
        <x:v>2000157654-U411</x:v>
      </x:c>
      <x:c r="C295" s="16" t="str">
        <x:v>НАБИВКА ЛП-31 8*8ММ</x:v>
      </x:c>
      <x:c r="D295" s="16" t="str">
        <x:v>Асбо-технические изделия</x:v>
      </x:c>
      <x:c r="E295" s="16" t="str">
        <x:v>КГ</x:v>
      </x:c>
      <x:c r="F295" s="29" t="n">
        <x:v>14.9</x:v>
      </x:c>
      <x:c r="G295" s="17" t="n">
        <x:v>282.8326</x:v>
      </x:c>
      <x:c r="H295" s="17" t="n">
        <x:f>G295*F295</x:f>
        <x:v>4214.20574</x:v>
      </x:c>
      <x:c r="I295" s="22" t="str">
        <x:f>HYPERLINK("https://etp-aktiv.ru/catalog/materialy/asbo-tekhnicheskie-izdeliya/2000157654-U411/","Открыть позицию")</x:f>
        <x:v>Открыть позицию</x:v>
      </x:c>
    </x:row>
    <x:row r="296" ht="28" customHeight="1">
      <x:c r="A296" s="16" t="str">
        <x:v>Ново-Кемеровская ТЭЦ</x:v>
      </x:c>
      <x:c r="B296" s="16" t="str">
        <x:v>2000585952-U411</x:v>
      </x:c>
      <x:c r="C296" s="16" t="str">
        <x:v>НАБИВКА МНОГОСЛ АП-31 24*24 ТУ2572-041-0</x:v>
      </x:c>
      <x:c r="D296" s="16" t="str">
        <x:v>Асбо-технические изделия</x:v>
      </x:c>
      <x:c r="E296" s="16" t="str">
        <x:v>КГ</x:v>
      </x:c>
      <x:c r="F296" s="29" t="n">
        <x:v>160.5</x:v>
      </x:c>
      <x:c r="G296" s="17" t="n">
        <x:v>82.15480000000001</x:v>
      </x:c>
      <x:c r="H296" s="17" t="n">
        <x:f>G296*F296</x:f>
        <x:v>13185.845400000002</x:v>
      </x:c>
      <x:c r="I296" s="22" t="str">
        <x:f>HYPERLINK("https://etp-aktiv.ru/catalog/materialy/asbo-tekhnicheskie-izdeliya/2000585952-U411/","Открыть позицию")</x:f>
        <x:v>Открыть позицию</x:v>
      </x:c>
    </x:row>
    <x:row r="297" ht="28" customHeight="1">
      <x:c r="A297" s="16" t="str">
        <x:v>Ново-Кемеровская ТЭЦ</x:v>
      </x:c>
      <x:c r="B297" s="16" t="str">
        <x:v>2000255958-U411</x:v>
      </x:c>
      <x:c r="C297" s="16" t="str">
        <x:v>НАБИВКА МС-500 14*14ММ</x:v>
      </x:c>
      <x:c r="D297" s="16" t="str">
        <x:v>Асбо-технические изделия</x:v>
      </x:c>
      <x:c r="E297" s="16" t="str">
        <x:v>КГ</x:v>
      </x:c>
      <x:c r="F297" s="29" t="n">
        <x:v>1.4</x:v>
      </x:c>
      <x:c r="G297" s="17" t="n">
        <x:v>957.3218</x:v>
      </x:c>
      <x:c r="H297" s="17" t="n">
        <x:f>G297*F297</x:f>
        <x:v>1340.25052</x:v>
      </x:c>
      <x:c r="I297" s="22" t="str">
        <x:f>HYPERLINK("https://etp-aktiv.ru/catalog/materialy/asbo-tekhnicheskie-izdeliya/2000255958-U411/","Открыть позицию")</x:f>
        <x:v>Открыть позицию</x:v>
      </x:c>
    </x:row>
    <x:row r="298" ht="28" customHeight="1">
      <x:c r="A298" s="16" t="str">
        <x:v>Ново-Кемеровская ТЭЦ</x:v>
      </x:c>
      <x:c r="B298" s="16" t="str">
        <x:v>2000539240-U411</x:v>
      </x:c>
      <x:c r="C298" s="16" t="str">
        <x:v>НАБИВКА НГ-100 18*18</x:v>
      </x:c>
      <x:c r="D298" s="16" t="str">
        <x:v>Асбо-технические изделия</x:v>
      </x:c>
      <x:c r="E298" s="16" t="str">
        <x:v>КГ</x:v>
      </x:c>
      <x:c r="F298" s="29" t="n">
        <x:v>3.5</x:v>
      </x:c>
      <x:c r="G298" s="17" t="n">
        <x:v>281.2588</x:v>
      </x:c>
      <x:c r="H298" s="17" t="n">
        <x:f>G298*F298</x:f>
        <x:v>984.4058</x:v>
      </x:c>
      <x:c r="I298" s="22" t="str">
        <x:f>HYPERLINK("https://etp-aktiv.ru/catalog/materialy/asbo-tekhnicheskie-izdeliya/2000539240-U411/","Открыть позицию")</x:f>
        <x:v>Открыть позицию</x:v>
      </x:c>
    </x:row>
    <x:row r="299" ht="28" customHeight="1">
      <x:c r="A299" s="16" t="str">
        <x:v>Ново-Кемеровская ТЭЦ</x:v>
      </x:c>
      <x:c r="B299" s="16" t="str">
        <x:v>2000153754-U411</x:v>
      </x:c>
      <x:c r="C299" s="16" t="str">
        <x:v>НАБИВКА НГ-100 8*8 ГОСТ5152-84</x:v>
      </x:c>
      <x:c r="D299" s="16" t="str">
        <x:v>Резино-технические изделия прочие</x:v>
      </x:c>
      <x:c r="E299" s="16" t="str">
        <x:v>КГ</x:v>
      </x:c>
      <x:c r="F299" s="21" t="n">
        <x:v>24</x:v>
      </x:c>
      <x:c r="G299" s="17" t="n">
        <x:v>583.3552</x:v>
      </x:c>
      <x:c r="H299" s="17" t="n">
        <x:f>G299*F299</x:f>
        <x:v>14000.5248</x:v>
      </x:c>
      <x:c r="I299" s="22" t="str">
        <x:f>HYPERLINK("https://etp-aktiv.ru/catalog/materialy/asbo-tekhnicheskie-izdeliya/2000153754-U411/","Открыть позицию")</x:f>
        <x:v>Открыть позицию</x:v>
      </x:c>
    </x:row>
    <x:row r="300" ht="28" customHeight="1">
      <x:c r="A300" s="16" t="str">
        <x:v>Ново-Кемеровская ТЭЦ</x:v>
      </x:c>
      <x:c r="B300" s="16" t="str">
        <x:v>2000160352-U411</x:v>
      </x:c>
      <x:c r="C300" s="16" t="str">
        <x:v>НАБИВКА НГ-200 10*10</x:v>
      </x:c>
      <x:c r="D300" s="16" t="str">
        <x:v>Резино-технические изделия прочие</x:v>
      </x:c>
      <x:c r="E300" s="16" t="str">
        <x:v>КГ</x:v>
      </x:c>
      <x:c r="F300" s="21" t="n">
        <x:v>50</x:v>
      </x:c>
      <x:c r="G300" s="17" t="n">
        <x:v>274.5</x:v>
      </x:c>
      <x:c r="H300" s="17" t="n">
        <x:f>G300*F300</x:f>
        <x:v>13725</x:v>
      </x:c>
      <x:c r="I300" s="22" t="str">
        <x:f>HYPERLINK("https://etp-aktiv.ru/catalog/materialy/rezino-tekhnicheskie-izdeliya/2000160352-U411/","Открыть позицию")</x:f>
        <x:v>Открыть позицию</x:v>
      </x:c>
    </x:row>
    <x:row r="301" ht="28" customHeight="1">
      <x:c r="A301" s="16" t="str">
        <x:v>Ново-Кемеровская ТЭЦ</x:v>
      </x:c>
      <x:c r="B301" s="16" t="str">
        <x:v>2000220938-U411</x:v>
      </x:c>
      <x:c r="C301" s="16" t="str">
        <x:v>НАБИВКА НГ-301 12*12ММ</x:v>
      </x:c>
      <x:c r="D301" s="16" t="str">
        <x:v>Асбо-технические изделия</x:v>
      </x:c>
      <x:c r="E301" s="16" t="str">
        <x:v>КГ</x:v>
      </x:c>
      <x:c r="F301" s="21" t="n">
        <x:v>60</x:v>
      </x:c>
      <x:c r="G301" s="17" t="n">
        <x:v>327.4968</x:v>
      </x:c>
      <x:c r="H301" s="17" t="n">
        <x:f>G301*F301</x:f>
        <x:v>19649.808</x:v>
      </x:c>
      <x:c r="I301" s="22" t="str">
        <x:f>HYPERLINK("https://etp-aktiv.ru/catalog/materialy/asbo-tekhnicheskie-izdeliya/2000220938-U411/","Открыть позицию")</x:f>
        <x:v>Открыть позицию</x:v>
      </x:c>
    </x:row>
    <x:row r="302" ht="28" customHeight="1">
      <x:c r="A302" s="16" t="str">
        <x:v>Ново-Кемеровская ТЭЦ</x:v>
      </x:c>
      <x:c r="B302" s="16" t="str">
        <x:v>2000172332-U411</x:v>
      </x:c>
      <x:c r="C302" s="16" t="str">
        <x:v>НАБИВКА НГ-Н 16*16ММ</x:v>
      </x:c>
      <x:c r="D302" s="16" t="str">
        <x:v>Асбо-технические изделия</x:v>
      </x:c>
      <x:c r="E302" s="16" t="str">
        <x:v>КГ</x:v>
      </x:c>
      <x:c r="F302" s="29" t="n">
        <x:v>12.76</x:v>
      </x:c>
      <x:c r="G302" s="17" t="n">
        <x:v>295.6182</x:v>
      </x:c>
      <x:c r="H302" s="17" t="n">
        <x:f>G302*F302</x:f>
        <x:v>3772.088232</x:v>
      </x:c>
      <x:c r="I302" s="22" t="str">
        <x:f>HYPERLINK("https://etp-aktiv.ru/catalog/materialy/asbo-tekhnicheskie-izdeliya/2000172332-U411/","Открыть позицию")</x:f>
        <x:v>Открыть позицию</x:v>
      </x:c>
    </x:row>
    <x:row r="303" ht="28" customHeight="1">
      <x:c r="A303" s="16" t="str">
        <x:v>Ново-Кемеровская ТЭЦ</x:v>
      </x:c>
      <x:c r="B303" s="16" t="str">
        <x:v>2000140381-U411</x:v>
      </x:c>
      <x:c r="C303" s="16" t="str">
        <x:v>НАБИВКА НГФ-С 16*16</x:v>
      </x:c>
      <x:c r="D303" s="16" t="str">
        <x:v>Асбо-технические изделия</x:v>
      </x:c>
      <x:c r="E303" s="16" t="str">
        <x:v>КГ</x:v>
      </x:c>
      <x:c r="F303" s="29" t="n">
        <x:v>22.12</x:v>
      </x:c>
      <x:c r="G303" s="17" t="n">
        <x:v>310.0264</x:v>
      </x:c>
      <x:c r="H303" s="17" t="n">
        <x:f>G303*F303</x:f>
        <x:v>6857.783968000001</x:v>
      </x:c>
      <x:c r="I303" s="22" t="str">
        <x:f>HYPERLINK("https://etp-aktiv.ru/catalog/materialy/asbo-tekhnicheskie-izdeliya/2000140381-U411/","Открыть позицию")</x:f>
        <x:v>Открыть позицию</x:v>
      </x:c>
    </x:row>
    <x:row r="304" ht="28" customHeight="1">
      <x:c r="A304" s="16" t="str">
        <x:v>Ново-Кемеровская ТЭЦ</x:v>
      </x:c>
      <x:c r="B304" s="16" t="str">
        <x:v>2000539234-U411</x:v>
      </x:c>
      <x:c r="C304" s="16" t="str">
        <x:v>НАБИВКА ОДНОСЛОЙНОЕ ПЛЕТЕНИЕ ЛП-31 10ММ</x:v>
      </x:c>
      <x:c r="D304" s="16" t="str">
        <x:v>Асбо-технические изделия</x:v>
      </x:c>
      <x:c r="E304" s="16" t="str">
        <x:v>КГ</x:v>
      </x:c>
      <x:c r="F304" s="21" t="n">
        <x:v>8</x:v>
      </x:c>
      <x:c r="G304" s="17" t="n">
        <x:v>172.5934</x:v>
      </x:c>
      <x:c r="H304" s="17" t="n">
        <x:f>G304*F304</x:f>
        <x:v>1380.7472</x:v>
      </x:c>
      <x:c r="I304" s="22" t="str">
        <x:f>HYPERLINK("https://etp-aktiv.ru/catalog/materialy/asbo-tekhnicheskie-izdeliya/2000539234-U411/","Открыть позицию")</x:f>
        <x:v>Открыть позицию</x:v>
      </x:c>
    </x:row>
    <x:row r="305" ht="28" customHeight="1">
      <x:c r="A305" s="16" t="str">
        <x:v>Ново-Кемеровская ТЭЦ</x:v>
      </x:c>
      <x:c r="B305" s="16" t="str">
        <x:v>2000539235-U411</x:v>
      </x:c>
      <x:c r="C305" s="16" t="str">
        <x:v>НАБИВКА ОДНОСЛОЙНОЕ ПЛЕТЕНИЕ ЛП-31 14*14</x:v>
      </x:c>
      <x:c r="D305" s="16" t="str">
        <x:v>Асбо-технические изделия</x:v>
      </x:c>
      <x:c r="E305" s="16" t="str">
        <x:v>КГ</x:v>
      </x:c>
      <x:c r="F305" s="29" t="n">
        <x:v>67.6</x:v>
      </x:c>
      <x:c r="G305" s="17" t="n">
        <x:v>163.76059999999998</x:v>
      </x:c>
      <x:c r="H305" s="17" t="n">
        <x:f>G305*F305</x:f>
        <x:v>11070.216559999997</x:v>
      </x:c>
      <x:c r="I305" s="22" t="str">
        <x:f>HYPERLINK("https://etp-aktiv.ru/catalog/materialy/asbo-tekhnicheskie-izdeliya/2000539235-U411/","Открыть позицию")</x:f>
        <x:v>Открыть позицию</x:v>
      </x:c>
    </x:row>
    <x:row r="306" ht="28" customHeight="1">
      <x:c r="A306" s="16" t="str">
        <x:v>Ново-Кемеровская ТЭЦ</x:v>
      </x:c>
      <x:c r="B306" s="16" t="str">
        <x:v>2000673492-U411</x:v>
      </x:c>
      <x:c r="C306" s="16" t="str">
        <x:v>НАБИВКА САЛЬНИКОВАЯ АС 14*14ММ</x:v>
      </x:c>
      <x:c r="D306" s="16" t="str">
        <x:v>Асбо-технические изделия</x:v>
      </x:c>
      <x:c r="E306" s="16" t="str">
        <x:v>КГ</x:v>
      </x:c>
      <x:c r="F306" s="21" t="n">
        <x:v>5</x:v>
      </x:c>
      <x:c r="G306" s="17" t="n">
        <x:v>420.59499999999997</x:v>
      </x:c>
      <x:c r="H306" s="17" t="n">
        <x:f>G306*F306</x:f>
        <x:v>2102.975</x:v>
      </x:c>
      <x:c r="I306" s="22" t="str">
        <x:f>HYPERLINK("https://etp-aktiv.ru/catalog/materialy/asbo-tekhnicheskie-izdeliya/2000673492-U411/","Открыть позицию")</x:f>
        <x:v>Открыть позицию</x:v>
      </x:c>
    </x:row>
    <x:row r="307" ht="28" customHeight="1">
      <x:c r="A307" s="16" t="str">
        <x:v>Ново-Кемеровская ТЭЦ</x:v>
      </x:c>
      <x:c r="B307" s="16" t="str">
        <x:v>2000570273-U411</x:v>
      </x:c>
      <x:c r="C307" s="16" t="str">
        <x:v>НАБИВКА САЛЬНИКОВАЯ ГЕРМОРУМ С-101 10*10</x:v>
      </x:c>
      <x:c r="D307" s="16" t="str">
        <x:v>Асбо-технические изделия</x:v>
      </x:c>
      <x:c r="E307" s="16" t="str">
        <x:v>КГ</x:v>
      </x:c>
      <x:c r="F307" s="29" t="n">
        <x:v>33.5</x:v>
      </x:c>
      <x:c r="G307" s="17" t="n">
        <x:v>302.1818</x:v>
      </x:c>
      <x:c r="H307" s="17" t="n">
        <x:f>G307*F307</x:f>
        <x:v>10123.0903</x:v>
      </x:c>
      <x:c r="I307" s="22" t="str">
        <x:f>HYPERLINK("https://etp-aktiv.ru/catalog/materialy/asbo-tekhnicheskie-izdeliya/2000570273-U411/","Открыть позицию")</x:f>
        <x:v>Открыть позицию</x:v>
      </x:c>
    </x:row>
    <x:row r="308" ht="28" customHeight="1">
      <x:c r="A308" s="16" t="str">
        <x:v>Ново-Кемеровская ТЭЦ</x:v>
      </x:c>
      <x:c r="B308" s="16" t="str">
        <x:v>2000539181-U411</x:v>
      </x:c>
      <x:c r="C308" s="16" t="str">
        <x:v>НАБИВКА СКВОЗНОЕ ПЛЕТЕНИЕ АП-31 19*19</x:v>
      </x:c>
      <x:c r="D308" s="16" t="str">
        <x:v>Асбо-технические изделия</x:v>
      </x:c>
      <x:c r="E308" s="16" t="str">
        <x:v>КГ</x:v>
      </x:c>
      <x:c r="F308" s="29" t="n">
        <x:v>28.4</x:v>
      </x:c>
      <x:c r="G308" s="17" t="n">
        <x:v>68.625</x:v>
      </x:c>
      <x:c r="H308" s="17" t="n">
        <x:f>G308*F308</x:f>
        <x:v>1948.9499999999998</x:v>
      </x:c>
      <x:c r="I308" s="22" t="str">
        <x:f>HYPERLINK("https://etp-aktiv.ru/catalog/materialy/asbo-tekhnicheskie-izdeliya/2000539181-U411/","Открыть позицию")</x:f>
        <x:v>Открыть позицию</x:v>
      </x:c>
    </x:row>
    <x:row r="309" ht="28" customHeight="1">
      <x:c r="A309" s="16" t="str">
        <x:v>Ново-Кемеровская ТЭЦ</x:v>
      </x:c>
      <x:c r="B309" s="16" t="str">
        <x:v>2000539204-U411</x:v>
      </x:c>
      <x:c r="C309" s="16" t="str">
        <x:v>НАБИВКА СКВОЗНОЕ ПЛЕТЕНИЕ АС 10*10</x:v>
      </x:c>
      <x:c r="D309" s="16" t="str">
        <x:v>Асбо-технические изделия</x:v>
      </x:c>
      <x:c r="E309" s="16" t="str">
        <x:v>КГ</x:v>
      </x:c>
      <x:c r="F309" s="29" t="n">
        <x:v>62.2</x:v>
      </x:c>
      <x:c r="G309" s="17" t="n">
        <x:v>195.0048</x:v>
      </x:c>
      <x:c r="H309" s="17" t="n">
        <x:f>G309*F309</x:f>
        <x:v>12129.29856</x:v>
      </x:c>
      <x:c r="I309" s="22" t="str">
        <x:f>HYPERLINK("https://etp-aktiv.ru/catalog/materialy/asbo-tekhnicheskie-izdeliya/2000539204-U411/","Открыть позицию")</x:f>
        <x:v>Открыть позицию</x:v>
      </x:c>
    </x:row>
    <x:row r="310" ht="28" customHeight="1">
      <x:c r="A310" s="16" t="str">
        <x:v>Ново-Кемеровская ТЭЦ</x:v>
      </x:c>
      <x:c r="B310" s="16" t="str">
        <x:v>2000539205-U411</x:v>
      </x:c>
      <x:c r="C310" s="16" t="str">
        <x:v>НАБИВКА СКВОЗНОЕ ПЛЕТЕНИЕ АС 12*12</x:v>
      </x:c>
      <x:c r="D310" s="16" t="str">
        <x:v>Асбо-технические изделия</x:v>
      </x:c>
      <x:c r="E310" s="16" t="str">
        <x:v>КГ</x:v>
      </x:c>
      <x:c r="F310" s="21" t="n">
        <x:v>2</x:v>
      </x:c>
      <x:c r="G310" s="17" t="n">
        <x:v>209.66920000000002</x:v>
      </x:c>
      <x:c r="H310" s="17" t="n">
        <x:f>G310*F310</x:f>
        <x:v>419.33840000000004</x:v>
      </x:c>
      <x:c r="I310" s="22" t="str">
        <x:f>HYPERLINK("https://etp-aktiv.ru/catalog/materialy/asbo-tekhnicheskie-izdeliya/2000539205-U411/","Открыть позицию")</x:f>
        <x:v>Открыть позицию</x:v>
      </x:c>
    </x:row>
    <x:row r="311" ht="28" customHeight="1">
      <x:c r="A311" s="16" t="str">
        <x:v>Ново-Кемеровская ТЭЦ</x:v>
      </x:c>
      <x:c r="B311" s="16" t="str">
        <x:v>2000165595-U411</x:v>
      </x:c>
      <x:c r="C311" s="16" t="str">
        <x:v>НАБИВКА ХБП-31 16*16ММ</x:v>
      </x:c>
      <x:c r="D311" s="16" t="str">
        <x:v>Асбо-технические изделия</x:v>
      </x:c>
      <x:c r="E311" s="16" t="str">
        <x:v>КГ</x:v>
      </x:c>
      <x:c r="F311" s="29" t="n">
        <x:v>9.3</x:v>
      </x:c>
      <x:c r="G311" s="17" t="n">
        <x:v>119.24279999999999</x:v>
      </x:c>
      <x:c r="H311" s="17" t="n">
        <x:f>G311*F311</x:f>
        <x:v>1108.95804</x:v>
      </x:c>
      <x:c r="I311" s="22" t="str">
        <x:f>HYPERLINK("https://etp-aktiv.ru/catalog/materialy/asbo-tekhnicheskie-izdeliya/2000165595-U411/","Открыть позицию")</x:f>
        <x:v>Открыть позицию</x:v>
      </x:c>
    </x:row>
    <x:row r="312" ht="28" customHeight="1">
      <x:c r="A312" s="16" t="str">
        <x:v>Ново-Кемеровская ТЭЦ</x:v>
      </x:c>
      <x:c r="B312" s="16" t="str">
        <x:v>2000549101-U411</x:v>
      </x:c>
      <x:c r="C312" s="16" t="str">
        <x:v>НИТЬ КРЕМНЕЗЕМ К11С6-180-БА</x:v>
      </x:c>
      <x:c r="D312" s="16" t="str">
        <x:v>Теплоизоляция</x:v>
      </x:c>
      <x:c r="E312" s="16" t="str">
        <x:v>КГ</x:v>
      </x:c>
      <x:c r="F312" s="29" t="n">
        <x:v>3.39</x:v>
      </x:c>
      <x:c r="G312" s="17" t="n">
        <x:v>449.997</x:v>
      </x:c>
      <x:c r="H312" s="17" t="n">
        <x:f>G312*F312</x:f>
        <x:v>1525.4898300000002</x:v>
      </x:c>
      <x:c r="I312" s="22" t="str">
        <x:f>HYPERLINK("https://etp-aktiv.ru/catalog/materialy/teploizolyaciya/2000549101-U411/","Открыть позицию")</x:f>
        <x:v>Открыть позицию</x:v>
      </x:c>
    </x:row>
    <x:row r="313" ht="28" customHeight="1">
      <x:c r="A313" s="16" t="str">
        <x:v>Ново-Кемеровская ТЭЦ</x:v>
      </x:c>
      <x:c r="B313" s="16" t="str">
        <x:v>2000033088-U411</x:v>
      </x:c>
      <x:c r="C313" s="16" t="str">
        <x:v>ПАРОНИТ ПМБ 0,4ММ</x:v>
      </x:c>
      <x:c r="D313" s="16" t="str">
        <x:v>Асбо-технические изд</x:v>
      </x:c>
      <x:c r="E313" s="16" t="str">
        <x:v>КГ</x:v>
      </x:c>
      <x:c r="F313" s="29" t="n">
        <x:v>11.5</x:v>
      </x:c>
      <x:c r="G313" s="17" t="n">
        <x:v>17.275199999999998</x:v>
      </x:c>
      <x:c r="H313" s="17" t="n">
        <x:f>G313*F313</x:f>
        <x:v>198.66479999999999</x:v>
      </x:c>
      <x:c r="I313" s="22" t="str">
        <x:f>HYPERLINK("https://etp-aktiv.ru/catalog/materialy/asbo-tekhnicheskie-izdeliya/2000033088-U411/","Открыть позицию")</x:f>
        <x:v>Открыть позицию</x:v>
      </x:c>
    </x:row>
    <x:row r="314" ht="28" customHeight="1">
      <x:c r="A314" s="16" t="str">
        <x:v>Ново-Кемеровская ТЭЦ</x:v>
      </x:c>
      <x:c r="B314" s="16" t="str">
        <x:v>2000033091-U411</x:v>
      </x:c>
      <x:c r="C314" s="16" t="str">
        <x:v>ПАРОНИТ ПМБ 0,5ММ</x:v>
      </x:c>
      <x:c r="D314" s="16" t="str">
        <x:v>Асбо-технические изделия</x:v>
      </x:c>
      <x:c r="E314" s="16" t="str">
        <x:v>КГ</x:v>
      </x:c>
      <x:c r="F314" s="29" t="n">
        <x:v>3.3</x:v>
      </x:c>
      <x:c r="G314" s="17" t="n">
        <x:v>111.17859999999999</x:v>
      </x:c>
      <x:c r="H314" s="17" t="n">
        <x:f>G314*F314</x:f>
        <x:v>366.88937999999996</x:v>
      </x:c>
      <x:c r="I314" s="22" t="str">
        <x:f>HYPERLINK("https://etp-aktiv.ru/catalog/materialy/asbo-tekhnicheskie-izdeliya/2000033091-U411/","Открыть позицию")</x:f>
        <x:v>Открыть позицию</x:v>
      </x:c>
    </x:row>
    <x:row r="315" ht="28" customHeight="1">
      <x:c r="A315" s="16" t="str">
        <x:v>Ново-Кемеровская ТЭЦ</x:v>
      </x:c>
      <x:c r="B315" s="16" t="str">
        <x:v>2000033089-U411</x:v>
      </x:c>
      <x:c r="C315" s="16" t="str">
        <x:v>ПАРОНИТ ПМБ 0,6ММ</x:v>
      </x:c>
      <x:c r="D315" s="16" t="str">
        <x:v>Асбо-технические изделия</x:v>
      </x:c>
      <x:c r="E315" s="16" t="str">
        <x:v>КГ</x:v>
      </x:c>
      <x:c r="F315" s="29" t="n">
        <x:v>36.5</x:v>
      </x:c>
      <x:c r="G315" s="17" t="n">
        <x:v>60.89019999999999</x:v>
      </x:c>
      <x:c r="H315" s="17" t="n">
        <x:f>G315*F315</x:f>
        <x:v>2222.4923</x:v>
      </x:c>
      <x:c r="I315" s="22" t="str">
        <x:f>HYPERLINK("https://etp-aktiv.ru/catalog/materialy/asbo-tekhnicheskie-izdeliya/2000033089-U411/","Открыть позицию")</x:f>
        <x:v>Открыть позицию</x:v>
      </x:c>
    </x:row>
    <x:row r="316" ht="28" customHeight="1">
      <x:c r="A316" s="16" t="str">
        <x:v>Ново-Кемеровская ТЭЦ</x:v>
      </x:c>
      <x:c r="B316" s="16" t="str">
        <x:v>2000127809-U411</x:v>
      </x:c>
      <x:c r="C316" s="16" t="str">
        <x:v>ПАРОНИТ ПМБ 0,8ММ 1,0*1,5</x:v>
      </x:c>
      <x:c r="D316" s="16" t="str">
        <x:v>Асбо-технические изделия</x:v>
      </x:c>
      <x:c r="E316" s="16" t="str">
        <x:v>ШТ</x:v>
      </x:c>
      <x:c r="F316" s="30" t="n">
        <x:v>0.7</x:v>
      </x:c>
      <x:c r="G316" s="17" t="n">
        <x:v>336.71999999999997</x:v>
      </x:c>
      <x:c r="H316" s="17" t="n">
        <x:f>G316*F316</x:f>
        <x:v>235.70399999999995</x:v>
      </x:c>
      <x:c r="I316" s="22" t="str">
        <x:f>HYPERLINK("https://etp-aktiv.ru/catalog/materialy/asbo-tekhnicheskie-izdeliya/2000127809-U411/","Открыть позицию")</x:f>
        <x:v>Открыть позицию</x:v>
      </x:c>
    </x:row>
    <x:row r="317" ht="28" customHeight="1">
      <x:c r="A317" s="16" t="str">
        <x:v>Ново-Кемеровская ТЭЦ</x:v>
      </x:c>
      <x:c r="B317" s="16" t="str">
        <x:v>2000258647-U411</x:v>
      </x:c>
      <x:c r="C317" s="16" t="str">
        <x:v>ПАРОНИТ ПМБ 1*1000*1500</x:v>
      </x:c>
      <x:c r="D317" s="16" t="str">
        <x:v>Асбо-технические изделия</x:v>
      </x:c>
      <x:c r="E317" s="16" t="str">
        <x:v>ШТ</x:v>
      </x:c>
      <x:c r="F317" s="21" t="n">
        <x:v>4</x:v>
      </x:c>
      <x:c r="G317" s="17" t="n">
        <x:v>121.268</x:v>
      </x:c>
      <x:c r="H317" s="17" t="n">
        <x:f>G317*F317</x:f>
        <x:v>485.072</x:v>
      </x:c>
      <x:c r="I317" s="22" t="str">
        <x:f>HYPERLINK("https://etp-aktiv.ru/catalog/materialy/asbo-tekhnicheskie-izdeliya/2000258647-U411/","Открыть позицию")</x:f>
        <x:v>Открыть позицию</x:v>
      </x:c>
    </x:row>
    <x:row r="318" ht="28" customHeight="1">
      <x:c r="A318" s="16" t="str">
        <x:v>Ново-Кемеровская ТЭЦ</x:v>
      </x:c>
      <x:c r="B318" s="16" t="str">
        <x:v>2000132212-U411</x:v>
      </x:c>
      <x:c r="C318" s="16" t="str">
        <x:v>ПАРОНИТ ПМБ 2ММ 1,0*1,5</x:v>
      </x:c>
      <x:c r="D318" s="16" t="str">
        <x:v>Асбо-технические изделия</x:v>
      </x:c>
      <x:c r="E318" s="16" t="str">
        <x:v>КГ</x:v>
      </x:c>
      <x:c r="F318" s="29" t="n">
        <x:v>6.2</x:v>
      </x:c>
      <x:c r="G318" s="17" t="n">
        <x:v>53.6678</x:v>
      </x:c>
      <x:c r="H318" s="17" t="n">
        <x:f>G318*F318</x:f>
        <x:v>332.74036</x:v>
      </x:c>
      <x:c r="I318" s="22" t="str">
        <x:f>HYPERLINK("https://etp-aktiv.ru/catalog/materialy/asbo-tekhnicheskie-izdeliya/2000132212-U411/","Открыть позицию")</x:f>
        <x:v>Открыть позицию</x:v>
      </x:c>
    </x:row>
    <x:row r="319" ht="28" customHeight="1">
      <x:c r="A319" s="16" t="str">
        <x:v>Ново-Кемеровская ТЭЦ</x:v>
      </x:c>
      <x:c r="B319" s="16" t="str">
        <x:v>2000132211-U411</x:v>
      </x:c>
      <x:c r="C319" s="16" t="str">
        <x:v>ПАРОНИТ ПМБ 3ММ 1,0*1,5</x:v>
      </x:c>
      <x:c r="D319" s="16" t="str">
        <x:v>Асбо-технические изделия</x:v>
      </x:c>
      <x:c r="E319" s="16" t="str">
        <x:v>КГ</x:v>
      </x:c>
      <x:c r="F319" s="21" t="n">
        <x:v>27</x:v>
      </x:c>
      <x:c r="G319" s="17" t="n">
        <x:v>31.5736</x:v>
      </x:c>
      <x:c r="H319" s="17" t="n">
        <x:f>G319*F319</x:f>
        <x:v>852.4872</x:v>
      </x:c>
      <x:c r="I319" s="22" t="str">
        <x:f>HYPERLINK("https://etp-aktiv.ru/catalog/materialy/asbo-tekhnicheskie-izdeliya/2000132211-U411/","Открыть позицию")</x:f>
        <x:v>Открыть позицию</x:v>
      </x:c>
    </x:row>
    <x:row r="320" ht="28" customHeight="1">
      <x:c r="A320" s="16" t="str">
        <x:v>Ново-Кемеровская ТЭЦ</x:v>
      </x:c>
      <x:c r="B320" s="16" t="str">
        <x:v>2000033108-U411</x:v>
      </x:c>
      <x:c r="C320" s="16" t="str">
        <x:v>ПАРОНИТ ПОН-А 2ММ</x:v>
      </x:c>
      <x:c r="D320" s="16" t="str">
        <x:v>Асбо-технические изделия</x:v>
      </x:c>
      <x:c r="E320" s="16" t="str">
        <x:v>КГ</x:v>
      </x:c>
      <x:c r="F320" s="29" t="n">
        <x:v>30.1</x:v>
      </x:c>
      <x:c r="G320" s="17" t="n">
        <x:v>32.6472</x:v>
      </x:c>
      <x:c r="H320" s="17" t="n">
        <x:f>G320*F320</x:f>
        <x:v>982.68072</x:v>
      </x:c>
      <x:c r="I320" s="22" t="str">
        <x:f>HYPERLINK("https://etp-aktiv.ru/catalog/materialy/asbo-tekhnicheskie-izdeliya/2000033108-U411/","Открыть позицию")</x:f>
        <x:v>Открыть позицию</x:v>
      </x:c>
    </x:row>
    <x:row r="321" ht="28" customHeight="1">
      <x:c r="A321" s="16" t="str">
        <x:v>Ново-Кемеровская ТЭЦ</x:v>
      </x:c>
      <x:c r="B321" s="16" t="str">
        <x:v>2000174421-U411</x:v>
      </x:c>
      <x:c r="C321" s="16" t="str">
        <x:v>ПАРОНИТ ПОН-А 3ММ 1,5*1,5М</x:v>
      </x:c>
      <x:c r="D321" s="16" t="str">
        <x:v>Асбо-технические изделия</x:v>
      </x:c>
      <x:c r="E321" s="16" t="str">
        <x:v>КГ</x:v>
      </x:c>
      <x:c r="F321" s="29" t="n">
        <x:v>358.5</x:v>
      </x:c>
      <x:c r="G321" s="17" t="n">
        <x:v>33.3182</x:v>
      </x:c>
      <x:c r="H321" s="17" t="n">
        <x:f>G321*F321</x:f>
        <x:v>11944.5747</x:v>
      </x:c>
      <x:c r="I321" s="22" t="str">
        <x:f>HYPERLINK("https://etp-aktiv.ru/catalog/materialy/asbo-tekhnicheskie-izdeliya/2000174421-U411/","Открыть позицию")</x:f>
        <x:v>Открыть позицию</x:v>
      </x:c>
    </x:row>
    <x:row r="322" ht="28" customHeight="1">
      <x:c r="A322" s="16" t="str">
        <x:v>Ново-Кемеровская ТЭЦ</x:v>
      </x:c>
      <x:c r="B322" s="16" t="str">
        <x:v>2000033100-U411</x:v>
      </x:c>
      <x:c r="C322" s="16" t="str">
        <x:v>ПАРОНИТ ПОН-Б 0,4ММ</x:v>
      </x:c>
      <x:c r="D322" s="16" t="str">
        <x:v>Асбо-технические изделия</x:v>
      </x:c>
      <x:c r="E322" s="16" t="str">
        <x:v>КГ</x:v>
      </x:c>
      <x:c r="F322" s="29" t="n">
        <x:v>24.6</x:v>
      </x:c>
      <x:c r="G322" s="17" t="n">
        <x:v>40.589400000000005</x:v>
      </x:c>
      <x:c r="H322" s="17" t="n">
        <x:f>G322*F322</x:f>
        <x:v>998.4992400000002</x:v>
      </x:c>
      <x:c r="I322" s="22" t="str">
        <x:f>HYPERLINK("https://etp-aktiv.ru/catalog/materialy/asbo-tekhnicheskie-izdeliya/2000033100-U411/","Открыть позицию")</x:f>
        <x:v>Открыть позицию</x:v>
      </x:c>
    </x:row>
    <x:row r="323" ht="28" customHeight="1">
      <x:c r="A323" s="16" t="str">
        <x:v>Ново-Кемеровская ТЭЦ</x:v>
      </x:c>
      <x:c r="B323" s="16" t="str">
        <x:v>2000569908-U411</x:v>
      </x:c>
      <x:c r="C323" s="16" t="str">
        <x:v>ПАРОНИТ ПОН-Б 0,5*1000*1500 ГОСТ481</x:v>
      </x:c>
      <x:c r="D323" s="16" t="str">
        <x:v>Асбо-технические изделия</x:v>
      </x:c>
      <x:c r="E323" s="16" t="str">
        <x:v>КГ</x:v>
      </x:c>
      <x:c r="F323" s="29" t="n">
        <x:v>6.5</x:v>
      </x:c>
      <x:c r="G323" s="17" t="n">
        <x:v>42.980599999999995</x:v>
      </x:c>
      <x:c r="H323" s="17" t="n">
        <x:f>G323*F323</x:f>
        <x:v>279.3739</x:v>
      </x:c>
      <x:c r="I323" s="22" t="str">
        <x:f>HYPERLINK("https://etp-aktiv.ru/catalog/materialy/asbo-tekhnicheskie-izdeliya/2000569908-U411/","Открыть позицию")</x:f>
        <x:v>Открыть позицию</x:v>
      </x:c>
    </x:row>
    <x:row r="324" ht="28" customHeight="1">
      <x:c r="A324" s="16" t="str">
        <x:v>Ново-Кемеровская ТЭЦ</x:v>
      </x:c>
      <x:c r="B324" s="16" t="str">
        <x:v>2000539284-U411</x:v>
      </x:c>
      <x:c r="C324" s="16" t="str">
        <x:v>ПАРОНИТ ПОН-Б 1,0*1500*1500</x:v>
      </x:c>
      <x:c r="D324" s="16" t="str">
        <x:v>Асбо-технические изделия</x:v>
      </x:c>
      <x:c r="E324" s="16" t="str">
        <x:v>КГ</x:v>
      </x:c>
      <x:c r="F324" s="29" t="n">
        <x:v>2.6</x:v>
      </x:c>
      <x:c r="G324" s="17" t="n">
        <x:v>48.6292</x:v>
      </x:c>
      <x:c r="H324" s="17" t="n">
        <x:f>G324*F324</x:f>
        <x:v>126.43592</x:v>
      </x:c>
      <x:c r="I324" s="22" t="str">
        <x:f>HYPERLINK("https://etp-aktiv.ru/catalog/materialy/asbo-tekhnicheskie-izdeliya/2000539284-U411/","Открыть позицию")</x:f>
        <x:v>Открыть позицию</x:v>
      </x:c>
    </x:row>
    <x:row r="325" ht="28" customHeight="1">
      <x:c r="A325" s="16" t="str">
        <x:v>Ново-Кемеровская ТЭЦ</x:v>
      </x:c>
      <x:c r="B325" s="16" t="str">
        <x:v>2000033105-U411</x:v>
      </x:c>
      <x:c r="C325" s="16" t="str">
        <x:v>ПАРОНИТ ПОН-Б 1ММ</x:v>
      </x:c>
      <x:c r="D325" s="16" t="str">
        <x:v>Асбо-технические изделия</x:v>
      </x:c>
      <x:c r="E325" s="16" t="str">
        <x:v>КГ</x:v>
      </x:c>
      <x:c r="F325" s="29" t="n">
        <x:v>49.8</x:v>
      </x:c>
      <x:c r="G325" s="17" t="n">
        <x:v>39.7232</x:v>
      </x:c>
      <x:c r="H325" s="17" t="n">
        <x:f>G325*F325</x:f>
        <x:v>1978.21536</x:v>
      </x:c>
      <x:c r="I325" s="22" t="str">
        <x:f>HYPERLINK("https://etp-aktiv.ru/catalog/materialy/asbo-tekhnicheskie-izdeliya/2000033105-U411/","Открыть позицию")</x:f>
        <x:v>Открыть позицию</x:v>
      </x:c>
    </x:row>
    <x:row r="326" ht="28" customHeight="1">
      <x:c r="A326" s="16" t="str">
        <x:v>Ново-Кемеровская ТЭЦ</x:v>
      </x:c>
      <x:c r="B326" s="16" t="str">
        <x:v>2000539286-U411</x:v>
      </x:c>
      <x:c r="C326" s="16" t="str">
        <x:v>ПАРОНИТ ПОН-Б 2,0*1000*1700</x:v>
      </x:c>
      <x:c r="D326" s="16" t="str">
        <x:v>Асбо-технические изделия</x:v>
      </x:c>
      <x:c r="E326" s="16" t="str">
        <x:v>КГ</x:v>
      </x:c>
      <x:c r="F326" s="21" t="n">
        <x:v>42</x:v>
      </x:c>
      <x:c r="G326" s="17" t="n">
        <x:v>31.2442</x:v>
      </x:c>
      <x:c r="H326" s="17" t="n">
        <x:f>G326*F326</x:f>
        <x:v>1312.2564</x:v>
      </x:c>
      <x:c r="I326" s="22" t="str">
        <x:f>HYPERLINK("https://etp-aktiv.ru/catalog/materialy/asbo-tekhnicheskie-izdeliya/2000539286-U411/","Открыть позицию")</x:f>
        <x:v>Открыть позицию</x:v>
      </x:c>
    </x:row>
    <x:row r="327" ht="28" customHeight="1">
      <x:c r="A327" s="16" t="str">
        <x:v>Ново-Кемеровская ТЭЦ</x:v>
      </x:c>
      <x:c r="B327" s="16" t="str">
        <x:v>2000233240-U411</x:v>
      </x:c>
      <x:c r="C327" s="16" t="str">
        <x:v>ПАРОНИТ ПОН-Б 2ММ 1*1,7М</x:v>
      </x:c>
      <x:c r="D327" s="16" t="str">
        <x:v>Асбо-технические изделия</x:v>
      </x:c>
      <x:c r="E327" s="16" t="str">
        <x:v>ШТ</x:v>
      </x:c>
      <x:c r="F327" s="21" t="n">
        <x:v>35</x:v>
      </x:c>
      <x:c r="G327" s="17" t="n">
        <x:v>504.72619999999995</x:v>
      </x:c>
      <x:c r="H327" s="17" t="n">
        <x:f>G327*F327</x:f>
        <x:v>17665.416999999998</x:v>
      </x:c>
      <x:c r="I327" s="22" t="str">
        <x:f>HYPERLINK("https://etp-aktiv.ru/catalog/materialy/asbo-tekhnicheskie-izdeliya/2000233240-U411/","Открыть позицию")</x:f>
        <x:v>Открыть позицию</x:v>
      </x:c>
    </x:row>
    <x:row r="328" ht="28" customHeight="1">
      <x:c r="A328" s="16" t="str">
        <x:v>Ново-Кемеровская ТЭЦ</x:v>
      </x:c>
      <x:c r="B328" s="16" t="str">
        <x:v>2000141041-U411</x:v>
      </x:c>
      <x:c r="C328" s="16" t="str">
        <x:v>ПАРОНИТ ПОН-Б 2ММ 1,5*1М</x:v>
      </x:c>
      <x:c r="D328" s="16" t="str">
        <x:v>Асбо-технические изделия</x:v>
      </x:c>
      <x:c r="E328" s="16" t="str">
        <x:v>КГ</x:v>
      </x:c>
      <x:c r="F328" s="29" t="n">
        <x:v>33.5</x:v>
      </x:c>
      <x:c r="G328" s="17" t="n">
        <x:v>35.733799999999995</x:v>
      </x:c>
      <x:c r="H328" s="17" t="n">
        <x:f>G328*F328</x:f>
        <x:v>1197.0822999999998</x:v>
      </x:c>
      <x:c r="I328" s="22" t="str">
        <x:f>HYPERLINK("https://etp-aktiv.ru/catalog/materialy/asbo-tekhnicheskie-izdeliya/2000141041-U411/","Открыть позицию")</x:f>
        <x:v>Открыть позицию</x:v>
      </x:c>
    </x:row>
    <x:row r="329" ht="28" customHeight="1">
      <x:c r="A329" s="16" t="str">
        <x:v>Ново-Кемеровская ТЭЦ</x:v>
      </x:c>
      <x:c r="B329" s="16" t="str">
        <x:v>2000033111-U411</x:v>
      </x:c>
      <x:c r="C329" s="16" t="str">
        <x:v>ПАРОНИТ ПОН-Б 3ММ</x:v>
      </x:c>
      <x:c r="D329" s="16" t="str">
        <x:v>Асбо-технические изделия</x:v>
      </x:c>
      <x:c r="E329" s="16" t="str">
        <x:v>КГ</x:v>
      </x:c>
      <x:c r="F329" s="29" t="n">
        <x:v>454.8</x:v>
      </x:c>
      <x:c r="G329" s="17" t="n">
        <x:v>36.112</x:v>
      </x:c>
      <x:c r="H329" s="17" t="n">
        <x:f>G329*F329</x:f>
        <x:v>16423.7376</x:v>
      </x:c>
      <x:c r="I329" s="22" t="str">
        <x:f>HYPERLINK("https://etp-aktiv.ru/catalog/materialy/asbo-tekhnicheskie-izdeliya/2000033111-U411/","Открыть позицию")</x:f>
        <x:v>Открыть позицию</x:v>
      </x:c>
    </x:row>
    <x:row r="330" ht="28" customHeight="1">
      <x:c r="A330" s="16" t="str">
        <x:v>Ново-Кемеровская ТЭЦ</x:v>
      </x:c>
      <x:c r="B330" s="16" t="str">
        <x:v>2000539292-U411</x:v>
      </x:c>
      <x:c r="C330" s="16" t="str">
        <x:v>ПАРОНИТ ПОН-Б 4,0*1500*1500</x:v>
      </x:c>
      <x:c r="D330" s="16" t="str">
        <x:v>Асбо-технические изделия</x:v>
      </x:c>
      <x:c r="E330" s="16" t="str">
        <x:v>КГ</x:v>
      </x:c>
      <x:c r="F330" s="29" t="n">
        <x:v>81.2</x:v>
      </x:c>
      <x:c r="G330" s="17" t="n">
        <x:v>57.6328</x:v>
      </x:c>
      <x:c r="H330" s="17" t="n">
        <x:f>G330*F330</x:f>
        <x:v>4679.78336</x:v>
      </x:c>
      <x:c r="I330" s="22" t="str">
        <x:f>HYPERLINK("https://etp-aktiv.ru/catalog/materialy/asbo-tekhnicheskie-izdeliya/2000539292-U411/","Открыть позицию")</x:f>
        <x:v>Открыть позицию</x:v>
      </x:c>
    </x:row>
    <x:row r="331" ht="28" customHeight="1">
      <x:c r="A331" s="16" t="str">
        <x:v>Ново-Кемеровская ТЭЦ</x:v>
      </x:c>
      <x:c r="B331" s="16" t="str">
        <x:v>2000033112-U411</x:v>
      </x:c>
      <x:c r="C331" s="16" t="str">
        <x:v>ПАРОНИТ ПОН-Б 4ММ</x:v>
      </x:c>
      <x:c r="D331" s="16" t="str">
        <x:v>Асбо-технические изделия</x:v>
      </x:c>
      <x:c r="E331" s="16" t="str">
        <x:v>КГ</x:v>
      </x:c>
      <x:c r="F331" s="29" t="n">
        <x:v>193.4</x:v>
      </x:c>
      <x:c r="G331" s="17" t="n">
        <x:v>36.8562</x:v>
      </x:c>
      <x:c r="H331" s="17" t="n">
        <x:f>G331*F331</x:f>
        <x:v>7127.98908</x:v>
      </x:c>
      <x:c r="I331" s="22" t="str">
        <x:f>HYPERLINK("https://etp-aktiv.ru/catalog/materialy/asbo-tekhnicheskie-izdeliya/2000033112-U411/","Открыть позицию")</x:f>
        <x:v>Открыть позицию</x:v>
      </x:c>
    </x:row>
    <x:row r="332" ht="28" customHeight="1">
      <x:c r="A332" s="16" t="str">
        <x:v>Ново-Кемеровская ТЭЦ</x:v>
      </x:c>
      <x:c r="B332" s="16" t="str">
        <x:v>2000692947-U411</x:v>
      </x:c>
      <x:c r="C332" s="16" t="str">
        <x:v>ПАРОНИТ ПЭ 3*1500*900</x:v>
      </x:c>
      <x:c r="D332" s="16" t="str">
        <x:v>Асбо-технические изделия</x:v>
      </x:c>
      <x:c r="E332" s="16" t="str">
        <x:v>КГ</x:v>
      </x:c>
      <x:c r="F332" s="21" t="n">
        <x:v>2</x:v>
      </x:c>
      <x:c r="G332" s="17" t="n">
        <x:v>55.815</x:v>
      </x:c>
      <x:c r="H332" s="17" t="n">
        <x:f>G332*F332</x:f>
        <x:v>111.63</x:v>
      </x:c>
      <x:c r="I332" s="22" t="str">
        <x:f>HYPERLINK("https://etp-aktiv.ru/catalog/materialy/asbo-tekhnicheskie-izdeliya/2000692947-U411/","Открыть позицию")</x:f>
        <x:v>Открыть позицию</x:v>
      </x:c>
    </x:row>
    <x:row r="333" ht="28" customHeight="1">
      <x:c r="A333" s="16" t="str">
        <x:v>Ново-Кемеровская ТЭЦ</x:v>
      </x:c>
      <x:c r="B333" s="16" t="str">
        <x:v>2000539294-U411</x:v>
      </x:c>
      <x:c r="C333" s="16" t="str">
        <x:v>ПАРОНИТ ПЭ 4*1000*1500</x:v>
      </x:c>
      <x:c r="D333" s="16" t="str">
        <x:v>Асбо-технические изделия</x:v>
      </x:c>
      <x:c r="E333" s="16" t="str">
        <x:v>КГ</x:v>
      </x:c>
      <x:c r="F333" s="29" t="n">
        <x:v>7.5</x:v>
      </x:c>
      <x:c r="G333" s="17" t="n">
        <x:v>54.656</x:v>
      </x:c>
      <x:c r="H333" s="17" t="n">
        <x:f>G333*F333</x:f>
        <x:v>409.92</x:v>
      </x:c>
      <x:c r="I333" s="22" t="str">
        <x:f>HYPERLINK("https://etp-aktiv.ru/catalog/materialy/asbo-tekhnicheskie-izdeliya/2000539294-U411/","Открыть позицию")</x:f>
        <x:v>Открыть позицию</x:v>
      </x:c>
    </x:row>
    <x:row r="334" ht="28" customHeight="1">
      <x:c r="A334" s="16" t="str">
        <x:v>Ново-Кемеровская ТЭЦ</x:v>
      </x:c>
      <x:c r="B334" s="16" t="str">
        <x:v>2000539293-U411</x:v>
      </x:c>
      <x:c r="C334" s="16" t="str">
        <x:v>ПАРОНИТ ПЭ 4*1500*1500</x:v>
      </x:c>
      <x:c r="D334" s="16" t="str">
        <x:v>Асбо-технические изделия</x:v>
      </x:c>
      <x:c r="E334" s="16" t="str">
        <x:v>КГ</x:v>
      </x:c>
      <x:c r="F334" s="21" t="n">
        <x:v>1</x:v>
      </x:c>
      <x:c r="G334" s="17" t="n">
        <x:v>55.815</x:v>
      </x:c>
      <x:c r="H334" s="17" t="n">
        <x:f>G334*F334</x:f>
        <x:v>55.815</x:v>
      </x:c>
      <x:c r="I334" s="22" t="str">
        <x:f>HYPERLINK("https://etp-aktiv.ru/catalog/materialy/asbo-tekhnicheskie-izdeliya/2000539293-U411/","Открыть позицию")</x:f>
        <x:v>Открыть позицию</x:v>
      </x:c>
    </x:row>
    <x:row r="335" ht="28" customHeight="1">
      <x:c r="A335" s="16" t="str">
        <x:v>Ново-Кемеровская ТЭЦ</x:v>
      </x:c>
      <x:c r="B335" s="16" t="str">
        <x:v>2000628388-U411</x:v>
      </x:c>
      <x:c r="C335" s="16" t="str">
        <x:v>ПЛАСТИНА 1*1000*3000 1Н-I МБС-М ГОСТ7338</x:v>
      </x:c>
      <x:c r="D335" s="16" t="str">
        <x:v>Резино-технические изделия прочие</x:v>
      </x:c>
      <x:c r="E335" s="16" t="str">
        <x:v>КГ</x:v>
      </x:c>
      <x:c r="F335" s="29" t="n">
        <x:v>10.4</x:v>
      </x:c>
      <x:c r="G335" s="17" t="n">
        <x:v>84.88759999999999</x:v>
      </x:c>
      <x:c r="H335" s="17" t="n">
        <x:f>G335*F335</x:f>
        <x:v>882.8310399999999</x:v>
      </x:c>
      <x:c r="I335" s="22" t="str">
        <x:f>HYPERLINK("https://etp-aktiv.ru/catalog/materialy/rezino-tekhnicheskie-izdeliya/2000628388-U411/","Открыть позицию")</x:f>
        <x:v>Открыть позицию</x:v>
      </x:c>
    </x:row>
    <x:row r="336" ht="28" customHeight="1">
      <x:c r="A336" s="16" t="str">
        <x:v>Ново-Кемеровская ТЭЦ</x:v>
      </x:c>
      <x:c r="B336" s="16" t="str">
        <x:v>2000774150-U411</x:v>
      </x:c>
      <x:c r="C336" s="16" t="str">
        <x:v>ПОЛОСА 8*12 УМ ГОСТ12855-77</x:v>
      </x:c>
      <x:c r="D336" s="16" t="str">
        <x:v>Резино-технические изделия прочие</x:v>
      </x:c>
      <x:c r="E336" s="16" t="str">
        <x:v>КГ</x:v>
      </x:c>
      <x:c r="F336" s="29" t="n">
        <x:v>32.1</x:v>
      </x:c>
      <x:c r="G336" s="17" t="n">
        <x:v>127.2582</x:v>
      </x:c>
      <x:c r="H336" s="17" t="n">
        <x:f>G336*F336</x:f>
        <x:v>4084.98822</x:v>
      </x:c>
      <x:c r="I336" s="22" t="str">
        <x:f>HYPERLINK("https://etp-aktiv.ru/catalog/materialy/rezino-tekhnicheskie-izdeliya/2000774150-U411/","Открыть позицию")</x:f>
        <x:v>Открыть позицию</x:v>
      </x:c>
    </x:row>
    <x:row r="337" ht="28" customHeight="1">
      <x:c r="A337" s="16" t="str">
        <x:v>Ново-Кемеровская ТЭЦ</x:v>
      </x:c>
      <x:c r="B337" s="16" t="str">
        <x:v>2000539295-U411</x:v>
      </x:c>
      <x:c r="C337" s="16" t="str">
        <x:v>ПОЛОТНО АСБЕСТОВОЕ ПНАХ-1С</x:v>
      </x:c>
      <x:c r="D337" s="16" t="str">
        <x:v>Асбо-технические изделия</x:v>
      </x:c>
      <x:c r="E337" s="16" t="str">
        <x:v>М2</x:v>
      </x:c>
      <x:c r="F337" s="21" t="n">
        <x:v>20</x:v>
      </x:c>
      <x:c r="G337" s="17" t="n">
        <x:v>230.0066</x:v>
      </x:c>
      <x:c r="H337" s="17" t="n">
        <x:f>G337*F337</x:f>
        <x:v>4600.132</x:v>
      </x:c>
      <x:c r="I337" s="22" t="str">
        <x:f>HYPERLINK("https://etp-aktiv.ru/catalog/materialy/asbo-tekhnicheskie-izdeliya/2000539295-U411/","Открыть позицию")</x:f>
        <x:v>Открыть позицию</x:v>
      </x:c>
    </x:row>
    <x:row r="338" ht="28" customHeight="1">
      <x:c r="A338" s="16" t="str">
        <x:v>Ново-Кемеровская ТЭЦ</x:v>
      </x:c>
      <x:c r="B338" s="16" t="str">
        <x:v>2000705039-U411</x:v>
      </x:c>
      <x:c r="C338" s="16" t="str">
        <x:v>ПОЛУЦИЛИНДР ИКИ D225*219*470</x:v>
      </x:c>
      <x:c r="D338" s="16" t="str">
        <x:v>Теплоизоляция</x:v>
      </x:c>
      <x:c r="E338" s="16" t="str">
        <x:v>М3</x:v>
      </x:c>
      <x:c r="F338" s="30" t="n">
        <x:v>0.42</x:v>
      </x:c>
      <x:c r="G338" s="17" t="n">
        <x:v>33683.4314</x:v>
      </x:c>
      <x:c r="H338" s="17" t="n">
        <x:f>G338*F338</x:f>
        <x:v>14147.041188</x:v>
      </x:c>
      <x:c r="I338" s="22" t="str">
        <x:f>HYPERLINK("https://etp-aktiv.ru/catalog/materialy/teploizolyaciya/2000705039-U411/","Открыть позицию")</x:f>
        <x:v>Открыть позицию</x:v>
      </x:c>
    </x:row>
    <x:row r="339" ht="28" customHeight="1">
      <x:c r="A339" s="16" t="str">
        <x:v>Ново-Кемеровская ТЭЦ</x:v>
      </x:c>
      <x:c r="B339" s="16" t="str">
        <x:v>2000248808-U411</x:v>
      </x:c>
      <x:c r="C339" s="16" t="str">
        <x:v>ПОЛУЦИЛИНДР ИКИ D273*750*100</x:v>
      </x:c>
      <x:c r="D339" s="16" t="str">
        <x:v>Теплоизоляция</x:v>
      </x:c>
      <x:c r="E339" s="16" t="str">
        <x:v>М3</x:v>
      </x:c>
      <x:c r="F339" s="29" t="n">
        <x:v>33.035</x:v>
      </x:c>
      <x:c r="G339" s="17" t="n">
        <x:v>52066.0254</x:v>
      </x:c>
      <x:c r="H339" s="17" t="n">
        <x:f>G339*F339</x:f>
        <x:v>1720001.1490889997</x:v>
      </x:c>
      <x:c r="I339" s="22" t="str">
        <x:f>HYPERLINK("https://etp-aktiv.ru/catalog/materialy/teploizolyaciya/2000248808-U411/","Открыть позицию")</x:f>
        <x:v>Открыть позицию</x:v>
      </x:c>
    </x:row>
    <x:row r="340" ht="28" customHeight="1">
      <x:c r="A340" s="16" t="str">
        <x:v>Ново-Кемеровская ТЭЦ</x:v>
      </x:c>
      <x:c r="B340" s="16" t="str">
        <x:v>2000248876-U411</x:v>
      </x:c>
      <x:c r="C340" s="16" t="str">
        <x:v>ПОЛУЦИЛИНДР ИКИ D325*500*100</x:v>
      </x:c>
      <x:c r="D340" s="16" t="str">
        <x:v>Теплоизоляция</x:v>
      </x:c>
      <x:c r="E340" s="16" t="str">
        <x:v>М3</x:v>
      </x:c>
      <x:c r="F340" s="30" t="n">
        <x:v>0.626</x:v>
      </x:c>
      <x:c r="G340" s="17" t="n">
        <x:v>22690.841</x:v>
      </x:c>
      <x:c r="H340" s="17" t="n">
        <x:f>G340*F340</x:f>
        <x:v>14204.466466</x:v>
      </x:c>
      <x:c r="I340" s="22" t="str">
        <x:f>HYPERLINK("https://etp-aktiv.ru/catalog/materialy/teploizolyaciya/2000248876-U411/","Открыть позицию")</x:f>
        <x:v>Открыть позицию</x:v>
      </x:c>
    </x:row>
    <x:row r="341" ht="28" customHeight="1">
      <x:c r="A341" s="16" t="str">
        <x:v>Ново-Кемеровская ТЭЦ</x:v>
      </x:c>
      <x:c r="B341" s="16" t="str">
        <x:v>2000248902-U411</x:v>
      </x:c>
      <x:c r="C341" s="16" t="str">
        <x:v>ПОЛУЦИЛИНДР ИКИ D377*500*100</x:v>
      </x:c>
      <x:c r="D341" s="16" t="str">
        <x:v>Теплоизоляция</x:v>
      </x:c>
      <x:c r="E341" s="16" t="str">
        <x:v>М3</x:v>
      </x:c>
      <x:c r="F341" s="29" t="n">
        <x:v>11.453</x:v>
      </x:c>
      <x:c r="G341" s="17" t="n">
        <x:v>19404.868599999998</x:v>
      </x:c>
      <x:c r="H341" s="17" t="n">
        <x:f>G341*F341</x:f>
        <x:v>222243.96007579996</x:v>
      </x:c>
      <x:c r="I341" s="22" t="str">
        <x:f>HYPERLINK("https://etp-aktiv.ru/catalog/materialy/teploizolyaciya/2000248902-U411/","Открыть позицию")</x:f>
        <x:v>Открыть позицию</x:v>
      </x:c>
    </x:row>
    <x:row r="342" ht="28" customHeight="1">
      <x:c r="A342" s="16" t="str">
        <x:v>Ново-Кемеровская ТЭЦ</x:v>
      </x:c>
      <x:c r="B342" s="16" t="str">
        <x:v>2000604818-U411</x:v>
      </x:c>
      <x:c r="C342" s="16" t="str">
        <x:v>ПОЛУЦИЛИНДР ИКИ-ПЦ 200-133-300 ГОСТ24748</x:v>
      </x:c>
      <x:c r="D342" s="16" t="str">
        <x:v>Теплоизоляция</x:v>
      </x:c>
      <x:c r="E342" s="16" t="str">
        <x:v>М3</x:v>
      </x:c>
      <x:c r="F342" s="30" t="n">
        <x:v>0.952</x:v>
      </x:c>
      <x:c r="G342" s="17" t="n">
        <x:v>31673.871799999997</x:v>
      </x:c>
      <x:c r="H342" s="17" t="n">
        <x:f>G342*F342</x:f>
        <x:v>30153.525953599998</x:v>
      </x:c>
      <x:c r="I342" s="22" t="str">
        <x:f>HYPERLINK("https://etp-aktiv.ru/catalog/materialy/teploizolyaciya/2000604818-U411/","Открыть позицию")</x:f>
        <x:v>Открыть позицию</x:v>
      </x:c>
    </x:row>
    <x:row r="343" ht="28" customHeight="1">
      <x:c r="A343" s="16" t="str">
        <x:v>Ново-Кемеровская ТЭЦ</x:v>
      </x:c>
      <x:c r="B343" s="16" t="str">
        <x:v>2000548785-U411</x:v>
      </x:c>
      <x:c r="C343" s="16" t="str">
        <x:v>ПОЛУЦИЛИНДР ИКИ-ПЦ200 D133*580</x:v>
      </x:c>
      <x:c r="D343" s="16" t="str">
        <x:v>Теплоизоляция</x:v>
      </x:c>
      <x:c r="E343" s="16" t="str">
        <x:v>М3</x:v>
      </x:c>
      <x:c r="F343" s="29" t="n">
        <x:v>1.86</x:v>
      </x:c>
      <x:c r="G343" s="17" t="n">
        <x:v>29249.5976</x:v>
      </x:c>
      <x:c r="H343" s="17" t="n">
        <x:f>G343*F343</x:f>
        <x:v>54404.251536</x:v>
      </x:c>
      <x:c r="I343" s="22" t="str">
        <x:f>HYPERLINK("https://etp-aktiv.ru/catalog/materialy/teploizolyaciya/2000548785-U411/","Открыть позицию")</x:f>
        <x:v>Открыть позицию</x:v>
      </x:c>
    </x:row>
    <x:row r="344" ht="28" customHeight="1">
      <x:c r="A344" s="16" t="str">
        <x:v>Ново-Кемеровская ТЭЦ</x:v>
      </x:c>
      <x:c r="B344" s="16" t="str">
        <x:v>2000668500-U411</x:v>
      </x:c>
      <x:c r="C344" s="16" t="str">
        <x:v>ПОЛУЦИЛИНДР ПЦ-300 D135*500*100</x:v>
      </x:c>
      <x:c r="D344" s="16" t="str">
        <x:v>Теплоизоляция</x:v>
      </x:c>
      <x:c r="E344" s="16" t="str">
        <x:v>М3</x:v>
      </x:c>
      <x:c r="F344" s="29" t="n">
        <x:v>7.535</x:v>
      </x:c>
      <x:c r="G344" s="17" t="n">
        <x:v>15127.243599999998</x:v>
      </x:c>
      <x:c r="H344" s="17" t="n">
        <x:f>G344*F344</x:f>
        <x:v>113983.78052599999</x:v>
      </x:c>
      <x:c r="I344" s="22" t="str">
        <x:f>HYPERLINK("https://etp-aktiv.ru/catalog/materialy/teploizolyaciya/2000668500-U411/","Открыть позицию")</x:f>
        <x:v>Открыть позицию</x:v>
      </x:c>
    </x:row>
    <x:row r="345" ht="28" customHeight="1">
      <x:c r="A345" s="16" t="str">
        <x:v>Ново-Кемеровская ТЭЦ</x:v>
      </x:c>
      <x:c r="B345" s="16" t="str">
        <x:v>2000539312-U411</x:v>
      </x:c>
      <x:c r="C345" s="16" t="str">
        <x:v>ПРОКЛАДКА ПВТГ-2-АГН 160*29*1,5-140*5</x:v>
      </x:c>
      <x:c r="D345" s="16" t="str">
        <x:v>Асбо-технические изделия</x:v>
      </x:c>
      <x:c r="E345" s="16" t="str">
        <x:v>ШТ</x:v>
      </x:c>
      <x:c r="F345" s="21" t="n">
        <x:v>8</x:v>
      </x:c>
      <x:c r="G345" s="17" t="n">
        <x:v>106.201</x:v>
      </x:c>
      <x:c r="H345" s="17" t="n">
        <x:f>G345*F345</x:f>
        <x:v>849.608</x:v>
      </x:c>
      <x:c r="I345" s="22" t="str">
        <x:f>HYPERLINK("https://etp-aktiv.ru/catalog/materialy/asbo-tekhnicheskie-izdeliya/2000539312-U411/","Открыть позицию")</x:f>
        <x:v>Открыть позицию</x:v>
      </x:c>
    </x:row>
    <x:row r="346" ht="28" customHeight="1">
      <x:c r="A346" s="16" t="str">
        <x:v>Ново-Кемеровская ТЭЦ</x:v>
      </x:c>
      <x:c r="B346" s="16" t="str">
        <x:v>2000539313-U411</x:v>
      </x:c>
      <x:c r="C346" s="16" t="str">
        <x:v>ПРОКЛАДКА ПВТГ-2-АПН 220*28*1,5-190*8</x:v>
      </x:c>
      <x:c r="D346" s="16" t="str">
        <x:v>Асбо-технические изделия</x:v>
      </x:c>
      <x:c r="E346" s="16" t="str">
        <x:v>ШТ</x:v>
      </x:c>
      <x:c r="F346" s="21" t="n">
        <x:v>40</x:v>
      </x:c>
      <x:c r="G346" s="17" t="n">
        <x:v>51.203399999999995</x:v>
      </x:c>
      <x:c r="H346" s="17" t="n">
        <x:f>G346*F346</x:f>
        <x:v>2048.136</x:v>
      </x:c>
      <x:c r="I346" s="22" t="str">
        <x:f>HYPERLINK("https://etp-aktiv.ru/catalog/materialy/asbo-tekhnicheskie-izdeliya/2000539313-U411/","Открыть позицию")</x:f>
        <x:v>Открыть позицию</x:v>
      </x:c>
    </x:row>
    <x:row r="347" ht="28" customHeight="1">
      <x:c r="A347" s="16" t="str">
        <x:v>Ново-Кемеровская ТЭЦ</x:v>
      </x:c>
      <x:c r="B347" s="16" t="str">
        <x:v>2000546657-U411</x:v>
      </x:c>
      <x:c r="C347" s="16" t="str">
        <x:v>РЕМЕНЬ B(Б) 2240</x:v>
      </x:c>
      <x:c r="D347" s="16" t="str">
        <x:v>Резино-технические изделия прочие</x:v>
      </x:c>
      <x:c r="E347" s="16" t="str">
        <x:v>ШТ</x:v>
      </x:c>
      <x:c r="F347" s="21" t="n">
        <x:v>10</x:v>
      </x:c>
      <x:c r="G347" s="17" t="n">
        <x:v>127.5022</x:v>
      </x:c>
      <x:c r="H347" s="17" t="n">
        <x:f>G347*F347</x:f>
        <x:v>1275.022</x:v>
      </x:c>
      <x:c r="I347" s="22" t="str">
        <x:f>HYPERLINK("https://etp-aktiv.ru/catalog/materialy/rezino-tekhnicheskie-izdeliya/2000546657-U411/","Открыть позицию")</x:f>
        <x:v>Открыть позицию</x:v>
      </x:c>
    </x:row>
    <x:row r="348" ht="28" customHeight="1">
      <x:c r="A348" s="16" t="str">
        <x:v>Ново-Кемеровская ТЭЦ</x:v>
      </x:c>
      <x:c r="B348" s="16" t="str">
        <x:v>2000546666-U411</x:v>
      </x:c>
      <x:c r="C348" s="16" t="str">
        <x:v>РЕМЕНЬ C(В) 2120</x:v>
      </x:c>
      <x:c r="D348" s="16" t="str">
        <x:v>Резино-технические изделия прочие</x:v>
      </x:c>
      <x:c r="E348" s="16" t="str">
        <x:v>ШТ</x:v>
      </x:c>
      <x:c r="F348" s="21" t="n">
        <x:v>6</x:v>
      </x:c>
      <x:c r="G348" s="17" t="n">
        <x:v>101.138</x:v>
      </x:c>
      <x:c r="H348" s="17" t="n">
        <x:f>G348*F348</x:f>
        <x:v>606.828</x:v>
      </x:c>
      <x:c r="I348" s="22" t="str">
        <x:f>HYPERLINK("https://etp-aktiv.ru/catalog/materialy/rezino-tekhnicheskie-izdeliya/2000546666-U411/","Открыть позицию")</x:f>
        <x:v>Открыть позицию</x:v>
      </x:c>
    </x:row>
    <x:row r="349" ht="28" customHeight="1">
      <x:c r="A349" s="16" t="str">
        <x:v>Ново-Кемеровская ТЭЦ</x:v>
      </x:c>
      <x:c r="B349" s="16" t="str">
        <x:v>2000546667-U411</x:v>
      </x:c>
      <x:c r="C349" s="16" t="str">
        <x:v>РЕМЕНЬ C(В) 2240</x:v>
      </x:c>
      <x:c r="D349" s="16" t="str">
        <x:v>Резино-технические изделия прочие</x:v>
      </x:c>
      <x:c r="E349" s="16" t="str">
        <x:v>ШТ</x:v>
      </x:c>
      <x:c r="F349" s="21" t="n">
        <x:v>3</x:v>
      </x:c>
      <x:c r="G349" s="17" t="n">
        <x:v>108.26279999999998</x:v>
      </x:c>
      <x:c r="H349" s="17" t="n">
        <x:f>G349*F349</x:f>
        <x:v>324.78839999999997</x:v>
      </x:c>
      <x:c r="I349" s="22" t="str">
        <x:f>HYPERLINK("https://etp-aktiv.ru/catalog/materialy/rezino-tekhnicheskie-izdeliya/2000546667-U411/","Открыть позицию")</x:f>
        <x:v>Открыть позицию</x:v>
      </x:c>
    </x:row>
    <x:row r="350" ht="28" customHeight="1">
      <x:c r="A350" s="16" t="str">
        <x:v>Ново-Кемеровская ТЭЦ</x:v>
      </x:c>
      <x:c r="B350" s="16" t="str">
        <x:v>2000546492-U411</x:v>
      </x:c>
      <x:c r="C350" s="16" t="str">
        <x:v>РЕМЕНЬ В(Б) 2240</x:v>
      </x:c>
      <x:c r="D350" s="16" t="str">
        <x:v>Резино-технические изделия прочие</x:v>
      </x:c>
      <x:c r="E350" s="16" t="str">
        <x:v>ШТ</x:v>
      </x:c>
      <x:c r="F350" s="21" t="n">
        <x:v>10</x:v>
      </x:c>
      <x:c r="G350" s="17" t="n">
        <x:v>119.57220000000001</x:v>
      </x:c>
      <x:c r="H350" s="17" t="n">
        <x:f>G350*F350</x:f>
        <x:v>1195.7220000000002</x:v>
      </x:c>
      <x:c r="I350" s="22" t="str">
        <x:f>HYPERLINK("https://etp-aktiv.ru/catalog/materialy/rezino-tekhnicheskie-izdeliya/2000546492-U411/","Открыть позицию")</x:f>
        <x:v>Открыть позицию</x:v>
      </x:c>
    </x:row>
    <x:row r="351" ht="28" customHeight="1">
      <x:c r="A351" s="16" t="str">
        <x:v>Ново-Кемеровская ТЭЦ</x:v>
      </x:c>
      <x:c r="B351" s="16" t="str">
        <x:v>2000073789-U411</x:v>
      </x:c>
      <x:c r="C351" s="16" t="str">
        <x:v>РЕМЕНЬ КЛИНОВОЙ В(Б)-3350</x:v>
      </x:c>
      <x:c r="D351" s="16" t="str">
        <x:v>Резино-технические изделия прочие</x:v>
      </x:c>
      <x:c r="E351" s="16" t="str">
        <x:v>ШТ</x:v>
      </x:c>
      <x:c r="F351" s="21" t="n">
        <x:v>10</x:v>
      </x:c>
      <x:c r="G351" s="17" t="n">
        <x:v>71.675</x:v>
      </x:c>
      <x:c r="H351" s="17" t="n">
        <x:f>G351*F351</x:f>
        <x:v>716.75</x:v>
      </x:c>
      <x:c r="I351" s="22" t="str">
        <x:f>HYPERLINK("https://etp-aktiv.ru/catalog/materialy/rezino-tekhnicheskie-izdeliya/2000073789-U411/","Открыть позицию")</x:f>
        <x:v>Открыть позицию</x:v>
      </x:c>
    </x:row>
    <x:row r="352" ht="28" customHeight="1">
      <x:c r="A352" s="16" t="str">
        <x:v>Ново-Кемеровская ТЭЦ</x:v>
      </x:c>
      <x:c r="B352" s="16" t="str">
        <x:v>2000003358-U411</x:v>
      </x:c>
      <x:c r="C352" s="16" t="str">
        <x:v>РЕМЕНЬ КЛИНОВОЙ С(В)-2120</x:v>
      </x:c>
      <x:c r="D352" s="16" t="str">
        <x:v>Резино-технические изделия прочие</x:v>
      </x:c>
      <x:c r="E352" s="16" t="str">
        <x:v>ШТ</x:v>
      </x:c>
      <x:c r="F352" s="21" t="n">
        <x:v>3</x:v>
      </x:c>
      <x:c r="G352" s="17" t="n">
        <x:v>266.57</x:v>
      </x:c>
      <x:c r="H352" s="17" t="n">
        <x:f>G352*F352</x:f>
        <x:v>799.71</x:v>
      </x:c>
      <x:c r="I352" s="22" t="str">
        <x:f>HYPERLINK("https://etp-aktiv.ru/catalog/materialy/rezino-tekhnicheskie-izdeliya/2000003358-U411/","Открыть позицию")</x:f>
        <x:v>Открыть позицию</x:v>
      </x:c>
    </x:row>
    <x:row r="353" ht="28" customHeight="1">
      <x:c r="A353" s="16" t="str">
        <x:v>Ново-Кемеровская ТЭЦ</x:v>
      </x:c>
      <x:c r="B353" s="16" t="str">
        <x:v>2000547090-U411</x:v>
      </x:c>
      <x:c r="C353" s="16" t="str">
        <x:v>РУКАВ 16*24-0,63 ГОСТ10362-76</x:v>
      </x:c>
      <x:c r="D353" s="16" t="str">
        <x:v>Резино-технические изделия прочие</x:v>
      </x:c>
      <x:c r="E353" s="16" t="str">
        <x:v>ПМ</x:v>
      </x:c>
      <x:c r="F353" s="29" t="n">
        <x:v>35.4</x:v>
      </x:c>
      <x:c r="G353" s="17" t="n">
        <x:v>40.6016</x:v>
      </x:c>
      <x:c r="H353" s="17" t="n">
        <x:f>G353*F353</x:f>
        <x:v>1437.2966399999998</x:v>
      </x:c>
      <x:c r="I353" s="22" t="str">
        <x:f>HYPERLINK("https://etp-aktiv.ru/catalog/materialy/rezino-tekhnicheskie-izdeliya/2000547090-U411/","Открыть позицию")</x:f>
        <x:v>Открыть позицию</x:v>
      </x:c>
    </x:row>
    <x:row r="354" ht="28" customHeight="1">
      <x:c r="A354" s="16" t="str">
        <x:v>Ново-Кемеровская ТЭЦ</x:v>
      </x:c>
      <x:c r="B354" s="16" t="str">
        <x:v>2000001107-U411</x:v>
      </x:c>
      <x:c r="C354" s="16" t="str">
        <x:v>САЛЬНИК 75*100 ГОСТ8752-79</x:v>
      </x:c>
      <x:c r="D354" s="16" t="str">
        <x:v>Резино-технические изделия прочие</x:v>
      </x:c>
      <x:c r="E354" s="16" t="str">
        <x:v>ШТ</x:v>
      </x:c>
      <x:c r="F354" s="21" t="n">
        <x:v>2</x:v>
      </x:c>
      <x:c r="G354" s="17" t="n">
        <x:v>44.3836</x:v>
      </x:c>
      <x:c r="H354" s="17" t="n">
        <x:f>G354*F354</x:f>
        <x:v>88.7672</x:v>
      </x:c>
      <x:c r="I354" s="22" t="str">
        <x:f>HYPERLINK("https://etp-aktiv.ru/catalog/materialy/rezino-tekhnicheskie-izdeliya/2000001107-U411/","Открыть позицию")</x:f>
        <x:v>Открыть позицию</x:v>
      </x:c>
    </x:row>
    <x:row r="355" ht="28" customHeight="1">
      <x:c r="A355" s="16" t="str">
        <x:v>Ново-Кемеровская ТЭЦ</x:v>
      </x:c>
      <x:c r="B355" s="16" t="str">
        <x:v>2000668499-U411</x:v>
      </x:c>
      <x:c r="C355" s="16" t="str">
        <x:v>СЕГМЕНТ ПЦ-300 D277*500*100</x:v>
      </x:c>
      <x:c r="D355" s="16" t="str">
        <x:v>Теплоизоляция</x:v>
      </x:c>
      <x:c r="E355" s="16" t="str">
        <x:v>М3</x:v>
      </x:c>
      <x:c r="F355" s="29" t="n">
        <x:v>13.88</x:v>
      </x:c>
      <x:c r="G355" s="17" t="n">
        <x:v>16369.4842</x:v>
      </x:c>
      <x:c r="H355" s="17" t="n">
        <x:f>G355*F355</x:f>
        <x:v>227208.44069600003</x:v>
      </x:c>
      <x:c r="I355" s="22" t="str">
        <x:f>HYPERLINK("https://etp-aktiv.ru/catalog/materialy/teploizolyaciya/2000668499-U411/","Открыть позицию")</x:f>
        <x:v>Открыть позицию</x:v>
      </x:c>
    </x:row>
    <x:row r="356" ht="28" customHeight="1">
      <x:c r="A356" s="16" t="str">
        <x:v>Ново-Кемеровская ТЭЦ</x:v>
      </x:c>
      <x:c r="B356" s="16" t="str">
        <x:v>2000668498-U411</x:v>
      </x:c>
      <x:c r="C356" s="16" t="str">
        <x:v>СЕГМЕНТ ПЦ-300 D327*500*100</x:v>
      </x:c>
      <x:c r="D356" s="16" t="str">
        <x:v>Теплоизоляция</x:v>
      </x:c>
      <x:c r="E356" s="16" t="str">
        <x:v>М3</x:v>
      </x:c>
      <x:c r="F356" s="29" t="n">
        <x:v>4.019</x:v>
      </x:c>
      <x:c r="G356" s="17" t="n">
        <x:v>17793.1754</x:v>
      </x:c>
      <x:c r="H356" s="17" t="n">
        <x:f>G356*F356</x:f>
        <x:v>71510.77193260001</x:v>
      </x:c>
      <x:c r="I356" s="22" t="str">
        <x:f>HYPERLINK("https://etp-aktiv.ru/catalog/materialy/teploizolyaciya/2000668498-U411/","Открыть позицию")</x:f>
        <x:v>Открыть позицию</x:v>
      </x:c>
    </x:row>
    <x:row r="357" ht="28" customHeight="1">
      <x:c r="A357" s="16" t="str">
        <x:v>Ново-Кемеровская ТЭЦ</x:v>
      </x:c>
      <x:c r="B357" s="16" t="str">
        <x:v>2000160912-U411</x:v>
      </x:c>
      <x:c r="C357" s="16" t="str">
        <x:v>ТЕХПЛАСТИНА 1*1000*1000 МБС-С ГОСТ7338</x:v>
      </x:c>
      <x:c r="D357" s="16" t="str">
        <x:v>Резино-технические изделия прочие</x:v>
      </x:c>
      <x:c r="E357" s="16" t="str">
        <x:v>КГ</x:v>
      </x:c>
      <x:c r="F357" s="21" t="n">
        <x:v>3</x:v>
      </x:c>
      <x:c r="G357" s="17" t="n">
        <x:v>79.2268</x:v>
      </x:c>
      <x:c r="H357" s="17" t="n">
        <x:f>G357*F357</x:f>
        <x:v>237.6804</x:v>
      </x:c>
      <x:c r="I357" s="22" t="str">
        <x:f>HYPERLINK("https://etp-aktiv.ru/catalog/materialy/rezino-tekhnicheskie-izdeliya/2000160912-U411/","Открыть позицию")</x:f>
        <x:v>Открыть позицию</x:v>
      </x:c>
    </x:row>
    <x:row r="358" ht="28" customHeight="1">
      <x:c r="A358" s="16" t="str">
        <x:v>Ново-Кемеровская ТЭЦ</x:v>
      </x:c>
      <x:c r="B358" s="16" t="str">
        <x:v>2000547065-U411</x:v>
      </x:c>
      <x:c r="C358" s="16" t="str">
        <x:v>ТЕХПЛАСТИНА 10*500*500 I ТУ38-105116-81</x:v>
      </x:c>
      <x:c r="D358" s="16" t="str">
        <x:v>Резино-технические изделия прочие</x:v>
      </x:c>
      <x:c r="E358" s="16" t="str">
        <x:v>КГ</x:v>
      </x:c>
      <x:c r="F358" s="29" t="n">
        <x:v>4.95</x:v>
      </x:c>
      <x:c r="G358" s="17" t="n">
        <x:v>181.3774</x:v>
      </x:c>
      <x:c r="H358" s="17" t="n">
        <x:f>G358*F358</x:f>
        <x:v>897.81813</x:v>
      </x:c>
      <x:c r="I358" s="22" t="str">
        <x:f>HYPERLINK("https://etp-aktiv.ru/catalog/materialy/rezino-tekhnicheskie-izdeliya/2000547065-U411/","Открыть позицию")</x:f>
        <x:v>Открыть позицию</x:v>
      </x:c>
    </x:row>
    <x:row r="359" ht="28" customHeight="1">
      <x:c r="A359" s="16" t="str">
        <x:v>Ново-Кемеровская ТЭЦ</x:v>
      </x:c>
      <x:c r="B359" s="16" t="str">
        <x:v>2000546988-U411</x:v>
      </x:c>
      <x:c r="C359" s="16" t="str">
        <x:v>ТЕХПЛАСТИНА 14ММ 2Н I-ТИП МБС ГОСТ7338</x:v>
      </x:c>
      <x:c r="D359" s="16" t="str">
        <x:v>Резино-технические изделия прочие</x:v>
      </x:c>
      <x:c r="E359" s="16" t="str">
        <x:v>КГ</x:v>
      </x:c>
      <x:c r="F359" s="29" t="n">
        <x:v>8.2</x:v>
      </x:c>
      <x:c r="G359" s="17" t="n">
        <x:v>118.95</x:v>
      </x:c>
      <x:c r="H359" s="17" t="n">
        <x:f>G359*F359</x:f>
        <x:v>975.39</x:v>
      </x:c>
      <x:c r="I359" s="22" t="str">
        <x:f>HYPERLINK("https://etp-aktiv.ru/catalog/materialy/rezino-tekhnicheskie-izdeliya/2000546988-U411/","Открыть позицию")</x:f>
        <x:v>Открыть позицию</x:v>
      </x:c>
    </x:row>
    <x:row r="360" ht="28" customHeight="1">
      <x:c r="A360" s="16" t="str">
        <x:v>Ново-Кемеровская ТЭЦ</x:v>
      </x:c>
      <x:c r="B360" s="16" t="str">
        <x:v>2000921863-U411</x:v>
      </x:c>
      <x:c r="C360" s="16" t="str">
        <x:v>ТЕХПЛАСТИНА 16*1200*5000 2-Н-I-МБС-С1-16</x:v>
      </x:c>
      <x:c r="D360" s="16" t="str">
        <x:v>Резино-технические изделия прочие</x:v>
      </x:c>
      <x:c r="E360" s="16" t="str">
        <x:v>КГ</x:v>
      </x:c>
      <x:c r="F360" s="30" t="n">
        <x:v>0.5</x:v>
      </x:c>
      <x:c r="G360" s="17" t="n">
        <x:v>118.95</x:v>
      </x:c>
      <x:c r="H360" s="17" t="n">
        <x:f>G360*F360</x:f>
        <x:v>59.475</x:v>
      </x:c>
      <x:c r="I360" s="22" t="str">
        <x:f>HYPERLINK("https://etp-aktiv.ru/catalog/materialy/rezino-tekhnicheskie-izdeliya/2000921863-U411/","Открыть позицию")</x:f>
        <x:v>Открыть позицию</x:v>
      </x:c>
    </x:row>
    <x:row r="361" ht="28" customHeight="1">
      <x:c r="A361" s="16" t="str">
        <x:v>Ново-Кемеровская ТЭЦ</x:v>
      </x:c>
      <x:c r="B361" s="16" t="str">
        <x:v>2000547051-U411</x:v>
      </x:c>
      <x:c r="C361" s="16" t="str">
        <x:v>ТЕХПЛАСТИНА 20 1Ф-I-ТМКЩ-С ГОСТ7338-90</x:v>
      </x:c>
      <x:c r="D361" s="16" t="str">
        <x:v>Резино-технические изделия прочие</x:v>
      </x:c>
      <x:c r="E361" s="16" t="str">
        <x:v>КГ</x:v>
      </x:c>
      <x:c r="F361" s="21" t="n">
        <x:v>18</x:v>
      </x:c>
      <x:c r="G361" s="17" t="n">
        <x:v>48.519400000000005</x:v>
      </x:c>
      <x:c r="H361" s="17" t="n">
        <x:f>G361*F361</x:f>
        <x:v>873.3492000000001</x:v>
      </x:c>
      <x:c r="I361" s="22" t="str">
        <x:f>HYPERLINK("https://etp-aktiv.ru/catalog/materialy/rezino-tekhnicheskie-izdeliya/2000547051-U411/","Открыть позицию")</x:f>
        <x:v>Открыть позицию</x:v>
      </x:c>
    </x:row>
    <x:row r="362" ht="28" customHeight="1">
      <x:c r="A362" s="16" t="str">
        <x:v>Ново-Кемеровская ТЭЦ</x:v>
      </x:c>
      <x:c r="B362" s="16" t="str">
        <x:v>2000003232-U411</x:v>
      </x:c>
      <x:c r="C362" s="16" t="str">
        <x:v>ТЕХПЛАСТИНА 20*1000*1000 МБС-М ГОСТ7338</x:v>
      </x:c>
      <x:c r="D362" s="16" t="str">
        <x:v>Резино-технические изделия прочие</x:v>
      </x:c>
      <x:c r="E362" s="16" t="str">
        <x:v>КГ</x:v>
      </x:c>
      <x:c r="F362" s="21" t="n">
        <x:v>21</x:v>
      </x:c>
      <x:c r="G362" s="17" t="n">
        <x:v>155.001</x:v>
      </x:c>
      <x:c r="H362" s="17" t="n">
        <x:f>G362*F362</x:f>
        <x:v>3255.021</x:v>
      </x:c>
      <x:c r="I362" s="22" t="str">
        <x:f>HYPERLINK("https://etp-aktiv.ru/catalog/materialy/rezino-tekhnicheskie-izdeliya/2000003232-U411/","Открыть позицию")</x:f>
        <x:v>Открыть позицию</x:v>
      </x:c>
    </x:row>
    <x:row r="363" ht="28" customHeight="1">
      <x:c r="A363" s="16" t="str">
        <x:v>Ново-Кемеровская ТЭЦ</x:v>
      </x:c>
      <x:c r="B363" s="16" t="str">
        <x:v>2000003366-U411</x:v>
      </x:c>
      <x:c r="C363" s="16" t="str">
        <x:v>ТЕХПЛАСТИНА 20*1000*1000 МБС-С ГОСТ7338</x:v>
      </x:c>
      <x:c r="D363" s="16" t="str">
        <x:v>Резино-технические изделия прочие</x:v>
      </x:c>
      <x:c r="E363" s="16" t="str">
        <x:v>КГ</x:v>
      </x:c>
      <x:c r="F363" s="29" t="n">
        <x:v>2.1</x:v>
      </x:c>
      <x:c r="G363" s="17" t="n">
        <x:v>204.045</x:v>
      </x:c>
      <x:c r="H363" s="17" t="n">
        <x:f>G363*F363</x:f>
        <x:v>428.4945</x:v>
      </x:c>
      <x:c r="I363" s="22" t="str">
        <x:f>HYPERLINK("https://etp-aktiv.ru/catalog/materialy/rezino-tekhnicheskie-izdeliya/2000003366-U411/","Открыть позицию")</x:f>
        <x:v>Открыть позицию</x:v>
      </x:c>
    </x:row>
    <x:row r="364" ht="28" customHeight="1">
      <x:c r="A364" s="16" t="str">
        <x:v>Ново-Кемеровская ТЭЦ</x:v>
      </x:c>
      <x:c r="B364" s="16" t="str">
        <x:v>2000546995-U411</x:v>
      </x:c>
      <x:c r="C364" s="16" t="str">
        <x:v>ТЕХПЛАСТИНА 30 2Ф-I ТМКЩ-С ГОСТ7338-90</x:v>
      </x:c>
      <x:c r="D364" s="16" t="str">
        <x:v>Резино-технические изделия прочие</x:v>
      </x:c>
      <x:c r="E364" s="16" t="str">
        <x:v>КГ</x:v>
      </x:c>
      <x:c r="F364" s="29" t="n">
        <x:v>49.6</x:v>
      </x:c>
      <x:c r="G364" s="17" t="n">
        <x:v>38.7472</x:v>
      </x:c>
      <x:c r="H364" s="17" t="n">
        <x:f>G364*F364</x:f>
        <x:v>1921.86112</x:v>
      </x:c>
      <x:c r="I364" s="22" t="str">
        <x:f>HYPERLINK("https://etp-aktiv.ru/catalog/materialy/rezino-tekhnicheskie-izdeliya/2000546995-U411/","Открыть позицию")</x:f>
        <x:v>Открыть позицию</x:v>
      </x:c>
    </x:row>
    <x:row r="365" ht="28" customHeight="1">
      <x:c r="A365" s="16" t="str">
        <x:v>Ново-Кемеровская ТЭЦ</x:v>
      </x:c>
      <x:c r="B365" s="16" t="str">
        <x:v>2000137435-U411</x:v>
      </x:c>
      <x:c r="C365" s="16" t="str">
        <x:v>ТЕХПЛАСТИНА 30*1000*1000 ТМКЩ ГОСТ7338</x:v>
      </x:c>
      <x:c r="D365" s="16" t="str">
        <x:v>Резино-технические изделия прочие</x:v>
      </x:c>
      <x:c r="E365" s="16" t="str">
        <x:v>КГ</x:v>
      </x:c>
      <x:c r="F365" s="29" t="n">
        <x:v>13.8</x:v>
      </x:c>
      <x:c r="G365" s="17" t="n">
        <x:v>36.587799999999994</x:v>
      </x:c>
      <x:c r="H365" s="17" t="n">
        <x:f>G365*F365</x:f>
        <x:v>504.9116399999999</x:v>
      </x:c>
      <x:c r="I365" s="22" t="str">
        <x:f>HYPERLINK("https://etp-aktiv.ru/catalog/materialy/rezino-tekhnicheskie-izdeliya/2000137435-U411/","Открыть позицию")</x:f>
        <x:v>Открыть позицию</x:v>
      </x:c>
    </x:row>
    <x:row r="366" ht="28" customHeight="1">
      <x:c r="A366" s="16" t="str">
        <x:v>Ново-Кемеровская ТЭЦ</x:v>
      </x:c>
      <x:c r="B366" s="16" t="str">
        <x:v>2000783739-U411</x:v>
      </x:c>
      <x:c r="C366" s="16" t="str">
        <x:v>ТЕХПЛАСТИНА 300*300*2 НО68-1НТА ТУ38.105</x:v>
      </x:c>
      <x:c r="D366" s="16" t="str">
        <x:v>Резино-технические изделия прочие</x:v>
      </x:c>
      <x:c r="E366" s="16" t="str">
        <x:v>КГ</x:v>
      </x:c>
      <x:c r="F366" s="29" t="n">
        <x:v>7.11</x:v>
      </x:c>
      <x:c r="G366" s="17" t="n">
        <x:v>122.67099999999999</x:v>
      </x:c>
      <x:c r="H366" s="17" t="n">
        <x:f>G366*F366</x:f>
        <x:v>872.1908099999999</x:v>
      </x:c>
      <x:c r="I366" s="22" t="str">
        <x:f>HYPERLINK("https://etp-aktiv.ru/catalog/materialy/rezino-tekhnicheskie-izdeliya/2000783739-U411/","Открыть позицию")</x:f>
        <x:v>Открыть позицию</x:v>
      </x:c>
    </x:row>
    <x:row r="367" ht="28" customHeight="1">
      <x:c r="A367" s="16" t="str">
        <x:v>Ново-Кемеровская ТЭЦ</x:v>
      </x:c>
      <x:c r="B367" s="16" t="str">
        <x:v>2000145868-U411</x:v>
      </x:c>
      <x:c r="C367" s="16" t="str">
        <x:v>ТЕХПЛАСТИНА 3ММ МБС ГОСТ7338-90</x:v>
      </x:c>
      <x:c r="D367" s="16" t="str">
        <x:v>Резино-технические изделия прочие</x:v>
      </x:c>
      <x:c r="E367" s="16" t="str">
        <x:v>КГ</x:v>
      </x:c>
      <x:c r="F367" s="29" t="n">
        <x:v>19.8</x:v>
      </x:c>
      <x:c r="G367" s="17" t="n">
        <x:v>73.2244</x:v>
      </x:c>
      <x:c r="H367" s="17" t="n">
        <x:f>G367*F367</x:f>
        <x:v>1449.84312</x:v>
      </x:c>
      <x:c r="I367" s="22" t="str">
        <x:f>HYPERLINK("https://etp-aktiv.ru/catalog/materialy/rezino-tekhnicheskie-izdeliya/2000145868-U411/","Открыть позицию")</x:f>
        <x:v>Открыть позицию</x:v>
      </x:c>
    </x:row>
    <x:row r="368" ht="28" customHeight="1">
      <x:c r="A368" s="16" t="str">
        <x:v>Ново-Кемеровская ТЭЦ</x:v>
      </x:c>
      <x:c r="B368" s="16" t="str">
        <x:v>2000141954-U411</x:v>
      </x:c>
      <x:c r="C368" s="16" t="str">
        <x:v>ТЕХПЛАСТИНА 40ММ ТКМЩ С ГОСТ7338-90</x:v>
      </x:c>
      <x:c r="D368" s="16" t="str">
        <x:v>Резино-технические изделия прочие</x:v>
      </x:c>
      <x:c r="E368" s="16" t="str">
        <x:v>КГ</x:v>
      </x:c>
      <x:c r="F368" s="21" t="n">
        <x:v>32</x:v>
      </x:c>
      <x:c r="G368" s="17" t="n">
        <x:v>45.7622</x:v>
      </x:c>
      <x:c r="H368" s="17" t="n">
        <x:f>G368*F368</x:f>
        <x:v>1464.3904</x:v>
      </x:c>
      <x:c r="I368" s="22" t="str">
        <x:f>HYPERLINK("https://etp-aktiv.ru/catalog/materialy/rezino-tekhnicheskie-izdeliya/2000141954-U411/","Открыть позицию")</x:f>
        <x:v>Открыть позицию</x:v>
      </x:c>
    </x:row>
    <x:row r="369" ht="28" customHeight="1">
      <x:c r="A369" s="16" t="str">
        <x:v>Ново-Кемеровская ТЭЦ</x:v>
      </x:c>
      <x:c r="B369" s="16" t="str">
        <x:v>2000073727-U411</x:v>
      </x:c>
      <x:c r="C369" s="16" t="str">
        <x:v>ТЕХПЛАСТИНА ТМКЩ-С 30*500*500 ГОСТ7338</x:v>
      </x:c>
      <x:c r="D369" s="16" t="str">
        <x:v>Резино-технические изделия прочие</x:v>
      </x:c>
      <x:c r="E369" s="16" t="str">
        <x:v>КГ</x:v>
      </x:c>
      <x:c r="F369" s="29" t="n">
        <x:v>84.7</x:v>
      </x:c>
      <x:c r="G369" s="17" t="n">
        <x:v>60.085</x:v>
      </x:c>
      <x:c r="H369" s="17" t="n">
        <x:f>G369*F369</x:f>
        <x:v>5089.199500000001</x:v>
      </x:c>
      <x:c r="I369" s="22" t="str">
        <x:f>HYPERLINK("https://etp-aktiv.ru/catalog/materialy/rezino-tekhnicheskie-izdeliya/2000073727-U411/","Открыть позицию")</x:f>
        <x:v>Открыть позицию</x:v>
      </x:c>
    </x:row>
    <x:row r="370" ht="28" customHeight="1">
      <x:c r="A370" s="16" t="str">
        <x:v>Ново-Кемеровская ТЭЦ</x:v>
      </x:c>
      <x:c r="B370" s="16" t="str">
        <x:v>2000580076-U411</x:v>
      </x:c>
      <x:c r="C370" s="16" t="str">
        <x:v>ТКАНЬ КЕРАМОВОЛОКНО LYTX-208A1 3*1000ММ</x:v>
      </x:c>
      <x:c r="D370" s="16" t="str">
        <x:v>Теплоизоляция</x:v>
      </x:c>
      <x:c r="E370" s="16" t="str">
        <x:v>ПМ</x:v>
      </x:c>
      <x:c r="F370" s="21" t="n">
        <x:v>20</x:v>
      </x:c>
      <x:c r="G370" s="17" t="n">
        <x:v>1782.603</x:v>
      </x:c>
      <x:c r="H370" s="17" t="n">
        <x:f>G370*F370</x:f>
        <x:v>35652.06</x:v>
      </x:c>
      <x:c r="I370" s="22" t="str">
        <x:f>HYPERLINK("https://etp-aktiv.ru/catalog/materialy/teploizolyaciya/2000580076-U411/","Открыть позицию")</x:f>
        <x:v>Открыть позицию</x:v>
      </x:c>
    </x:row>
    <x:row r="371" ht="28" customHeight="1">
      <x:c r="A371" s="16" t="str">
        <x:v>Ново-Кемеровская ТЭЦ</x:v>
      </x:c>
      <x:c r="B371" s="16" t="str">
        <x:v>2000548831-U411</x:v>
      </x:c>
      <x:c r="C371" s="16" t="str">
        <x:v>ЦИЛИНДР ЦТЭ-150 D273*100</x:v>
      </x:c>
      <x:c r="D371" s="16" t="str">
        <x:v>Теплоизоляция</x:v>
      </x:c>
      <x:c r="E371" s="16" t="str">
        <x:v>М3</x:v>
      </x:c>
      <x:c r="F371" s="29" t="n">
        <x:v>9.082</x:v>
      </x:c>
      <x:c r="G371" s="17" t="n">
        <x:v>6008.5854</x:v>
      </x:c>
      <x:c r="H371" s="17" t="n">
        <x:f>G371*F371</x:f>
        <x:v>54569.9726028</x:v>
      </x:c>
      <x:c r="I371" s="22" t="str">
        <x:f>HYPERLINK("https://etp-aktiv.ru/catalog/materialy/teploizolyaciya/2000548831-U411/","Открыть позицию")</x:f>
        <x:v>Открыть позицию</x:v>
      </x:c>
    </x:row>
    <x:row r="372" ht="28" customHeight="1">
      <x:c r="A372" s="16" t="str">
        <x:v>Ново-Кемеровская ТЭЦ</x:v>
      </x:c>
      <x:c r="B372" s="16" t="str">
        <x:v>2000548833-U411</x:v>
      </x:c>
      <x:c r="C372" s="16" t="str">
        <x:v>ЦИЛИНДР ЦТЭ-150 D377*100</x:v>
      </x:c>
      <x:c r="D372" s="16" t="str">
        <x:v>Теплоизоляция</x:v>
      </x:c>
      <x:c r="E372" s="16" t="str">
        <x:v>М3</x:v>
      </x:c>
      <x:c r="F372" s="29" t="n">
        <x:v>27.3</x:v>
      </x:c>
      <x:c r="G372" s="17" t="n">
        <x:v>7116.4064</x:v>
      </x:c>
      <x:c r="H372" s="17" t="n">
        <x:f>G372*F372</x:f>
        <x:v>194277.89472</x:v>
      </x:c>
      <x:c r="I372" s="22" t="str">
        <x:f>HYPERLINK("https://etp-aktiv.ru/catalog/materialy/teploizolyaciya/2000548833-U411/","Открыть позицию")</x:f>
        <x:v>Открыть позицию</x:v>
      </x:c>
    </x:row>
    <x:row r="373" ht="28" customHeight="1">
      <x:c r="A373" s="16" t="str">
        <x:v>Ново-Кемеровская ТЭЦ</x:v>
      </x:c>
      <x:c r="B373" s="16" t="str">
        <x:v>2000553812-U411</x:v>
      </x:c>
      <x:c r="C373" s="16" t="str">
        <x:v>ШАМОТ МОЛОТЫЙ ПШБМ</x:v>
      </x:c>
      <x:c r="D373" s="16" t="str">
        <x:v>Огнеупорные материалы</x:v>
      </x:c>
      <x:c r="E373" s="16" t="str">
        <x:v>Т</x:v>
      </x:c>
      <x:c r="F373" s="30" t="n">
        <x:v>0.8</x:v>
      </x:c>
      <x:c r="G373" s="17" t="n">
        <x:v>3906.1716</x:v>
      </x:c>
      <x:c r="H373" s="17" t="n">
        <x:f>G373*F373</x:f>
        <x:v>3124.93728</x:v>
      </x:c>
      <x:c r="I373" s="22" t="str">
        <x:f>HYPERLINK("https://etp-aktiv.ru/catalog/materialy/ogneupornye-materialy/2000553812-U411/","Открыть позицию")</x:f>
        <x:v>Открыть позицию</x:v>
      </x:c>
    </x:row>
    <x:row r="374" ht="28" customHeight="1">
      <x:c r="A374" s="16" t="str">
        <x:v>Ново-Кемеровская ТЭЦ</x:v>
      </x:c>
      <x:c r="B374" s="16" t="str">
        <x:v>2000648348-U411</x:v>
      </x:c>
      <x:c r="C374" s="16" t="str">
        <x:v>ШНУР 2-4С 8 ГОСТ6467-79</x:v>
      </x:c>
      <x:c r="D374" s="16" t="str">
        <x:v>Резино-технические изделия прочие</x:v>
      </x:c>
      <x:c r="E374" s="16" t="str">
        <x:v>КГ</x:v>
      </x:c>
      <x:c r="F374" s="29" t="n">
        <x:v>17.2</x:v>
      </x:c>
      <x:c r="G374" s="17" t="n">
        <x:v>179.9134</x:v>
      </x:c>
      <x:c r="H374" s="17" t="n">
        <x:f>G374*F374</x:f>
        <x:v>3094.51048</x:v>
      </x:c>
      <x:c r="I374" s="22" t="str">
        <x:f>HYPERLINK("https://etp-aktiv.ru/catalog/materialy/rezino-tekhnicheskie-izdeliya/2000648348-U411/","Открыть позицию")</x:f>
        <x:v>Открыть позицию</x:v>
      </x:c>
    </x:row>
    <x:row r="375" ht="28" customHeight="1">
      <x:c r="A375" s="16" t="str">
        <x:v>Ново-Кемеровская ТЭЦ</x:v>
      </x:c>
      <x:c r="B375" s="16" t="str">
        <x:v>2000046189-U411</x:v>
      </x:c>
      <x:c r="C375" s="16" t="str">
        <x:v>ШНУР АСБЕСТ ШАОН 25ММ</x:v>
      </x:c>
      <x:c r="D375" s="16" t="str">
        <x:v>Асбо-технические изделия</x:v>
      </x:c>
      <x:c r="E375" s="16" t="str">
        <x:v>КГ</x:v>
      </x:c>
      <x:c r="F375" s="29" t="n">
        <x:v>306.935</x:v>
      </x:c>
      <x:c r="G375" s="17" t="n">
        <x:v>247.7576</x:v>
      </x:c>
      <x:c r="H375" s="17" t="n">
        <x:f>G375*F375</x:f>
        <x:v>76045.478956</x:v>
      </x:c>
      <x:c r="I375" s="22" t="str">
        <x:f>HYPERLINK("https://etp-aktiv.ru/catalog/materialy/asbo-tekhnicheskie-izdeliya/2000046189-U411/","Открыть позицию")</x:f>
        <x:v>Открыть позицию</x:v>
      </x:c>
    </x:row>
    <x:row r="376" ht="28" customHeight="1">
      <x:c r="A376" s="16" t="str">
        <x:v>Ново-Кемеровская ТЭЦ</x:v>
      </x:c>
      <x:c r="B376" s="16" t="str">
        <x:v>2000046191-U411</x:v>
      </x:c>
      <x:c r="C376" s="16" t="str">
        <x:v>ШНУР АСБЕСТ ШАОН 30ММ</x:v>
      </x:c>
      <x:c r="D376" s="16" t="str">
        <x:v>Асбо-технические изделия</x:v>
      </x:c>
      <x:c r="E376" s="16" t="str">
        <x:v>КГ</x:v>
      </x:c>
      <x:c r="F376" s="29" t="n">
        <x:v>2614.255</x:v>
      </x:c>
      <x:c r="G376" s="17" t="n">
        <x:v>244</x:v>
      </x:c>
      <x:c r="H376" s="17" t="n">
        <x:f>G376*F376</x:f>
        <x:v>637878.22</x:v>
      </x:c>
      <x:c r="I376" s="22" t="str">
        <x:f>HYPERLINK("https://etp-aktiv.ru/catalog/materialy/asbo-tekhnicheskie-izdeliya/2000046191-U411/","Открыть позицию")</x:f>
        <x:v>Открыть позицию</x:v>
      </x:c>
    </x:row>
    <x:row r="377" ht="28" customHeight="1">
      <x:c r="A377" s="16" t="str">
        <x:v>Ново-Кемеровская ТЭЦ</x:v>
      </x:c>
      <x:c r="B377" s="16" t="str">
        <x:v>2000133782-U411</x:v>
      </x:c>
      <x:c r="C377" s="16" t="str">
        <x:v>ШНУР МБС 4С D8ММ ГОСТ6467-79</x:v>
      </x:c>
      <x:c r="D377" s="16" t="str">
        <x:v>Резино-технические изделия прочие</x:v>
      </x:c>
      <x:c r="E377" s="16" t="str">
        <x:v>КГ</x:v>
      </x:c>
      <x:c r="F377" s="29" t="n">
        <x:v>2.35</x:v>
      </x:c>
      <x:c r="G377" s="17" t="n">
        <x:v>124.013</x:v>
      </x:c>
      <x:c r="H377" s="17" t="n">
        <x:f>G377*F377</x:f>
        <x:v>291.43055000000004</x:v>
      </x:c>
      <x:c r="I377" s="22" t="str">
        <x:f>HYPERLINK("https://etp-aktiv.ru/catalog/materialy/rezino-tekhnicheskie-izdeliya/2000133782-U411/","Открыть позицию")</x:f>
        <x:v>Открыть позицию</x:v>
      </x:c>
    </x:row>
    <x:row r="378" ht="28" customHeight="1">
      <x:c r="A378" s="16" t="str">
        <x:v>Ново-Кемеровская ТЭЦ</x:v>
      </x:c>
      <x:c r="B378" s="16" t="str">
        <x:v>2000546775-U411</x:v>
      </x:c>
      <x:c r="C378" s="16" t="str">
        <x:v>ШНУР РЕЗ 1,4C 8 ГОСТ6467-79</x:v>
      </x:c>
      <x:c r="D378" s="16" t="str">
        <x:v>Резино-технические изделия прочие</x:v>
      </x:c>
      <x:c r="E378" s="16" t="str">
        <x:v>КГ</x:v>
      </x:c>
      <x:c r="F378" s="29" t="n">
        <x:v>31.2</x:v>
      </x:c>
      <x:c r="G378" s="17" t="n">
        <x:v>155.001</x:v>
      </x:c>
      <x:c r="H378" s="17" t="n">
        <x:f>G378*F378</x:f>
        <x:v>4836.0312</x:v>
      </x:c>
      <x:c r="I378" s="22" t="str">
        <x:f>HYPERLINK("https://etp-aktiv.ru/catalog/materialy/rezino-tekhnicheskie-izdeliya/2000546775-U411/","Открыть позицию")</x:f>
        <x:v>Открыть позицию</x:v>
      </x:c>
    </x:row>
    <x:row r="379" ht="28" customHeight="1">
      <x:c r="A379" s="16" t="str">
        <x:v>Ново-Кемеровская ТЭЦ</x:v>
      </x:c>
      <x:c r="B379" s="16" t="str">
        <x:v>2000546885-U411</x:v>
      </x:c>
      <x:c r="C379" s="16" t="str">
        <x:v>ШНУР РЕЗ 10 ТУ38.105108-76</x:v>
      </x:c>
      <x:c r="D379" s="16" t="str">
        <x:v>Резино-технические изделия прочие</x:v>
      </x:c>
      <x:c r="E379" s="16" t="str">
        <x:v>КГ</x:v>
      </x:c>
      <x:c r="F379" s="29" t="n">
        <x:v>3.25</x:v>
      </x:c>
      <x:c r="G379" s="17" t="n">
        <x:v>102.9924</x:v>
      </x:c>
      <x:c r="H379" s="17" t="n">
        <x:f>G379*F379</x:f>
        <x:v>334.7253</x:v>
      </x:c>
      <x:c r="I379" s="22" t="str">
        <x:f>HYPERLINK("https://etp-aktiv.ru/catalog/materialy/rezino-tekhnicheskie-izdeliya/2000546885-U411/","Открыть позицию")</x:f>
        <x:v>Открыть позицию</x:v>
      </x:c>
    </x:row>
    <x:row r="380" ht="28" customHeight="1">
      <x:c r="A380" s="16" t="str">
        <x:v>Ново-Кемеровская ТЭЦ</x:v>
      </x:c>
      <x:c r="B380" s="16" t="str">
        <x:v>2000546888-U411</x:v>
      </x:c>
      <x:c r="C380" s="16" t="str">
        <x:v>ШНУР РЕЗ. 10ММ ТУ38.105108-76</x:v>
      </x:c>
      <x:c r="D380" s="16" t="str">
        <x:v>Резино-технические изделия прочие</x:v>
      </x:c>
      <x:c r="E380" s="16" t="str">
        <x:v>КГ</x:v>
      </x:c>
      <x:c r="F380" s="21" t="n">
        <x:v>6</x:v>
      </x:c>
      <x:c r="G380" s="17" t="n">
        <x:v>157.2702</x:v>
      </x:c>
      <x:c r="H380" s="17" t="n">
        <x:f>G380*F380</x:f>
        <x:v>943.6211999999999</x:v>
      </x:c>
      <x:c r="I380" s="22" t="str">
        <x:f>HYPERLINK("https://etp-aktiv.ru/catalog/materialy/rezino-tekhnicheskie-izdeliya/2000546888-U411/","Открыть позицию")</x:f>
        <x:v>Открыть позицию</x:v>
      </x:c>
    </x:row>
    <x:row r="381" ht="28" customHeight="1">
      <x:c r="A381" s="16" t="str">
        <x:v>Теплоэнергетик</x:v>
      </x:c>
      <x:c r="B381" s="16" t="str">
        <x:v>2000547200-U911</x:v>
      </x:c>
      <x:c r="C381" s="16" t="str">
        <x:v>РУКАВ В-2-75-10 10М ГОСТ5398-76</x:v>
      </x:c>
      <x:c r="D381" s="16" t="str">
        <x:v>Резино-технические изделия проч специализирован и под заказ</x:v>
      </x:c>
      <x:c r="E381" s="16" t="str">
        <x:v>М</x:v>
      </x:c>
      <x:c r="F381" s="21" t="n">
        <x:v>10</x:v>
      </x:c>
      <x:c r="G381" s="17" t="n">
        <x:v>836.8468</x:v>
      </x:c>
      <x:c r="H381" s="17" t="n">
        <x:f>G381*F381</x:f>
        <x:v>8368.468</x:v>
      </x:c>
      <x:c r="I381" s="22" t="str">
        <x:f>HYPERLINK("https://etp-aktiv.ru/catalog/materialy/rezino-tekhnicheskie-izdeliya/2000547200-U911/","Открыть позицию")</x:f>
        <x:v>Открыть позицию</x:v>
      </x:c>
    </x:row>
    <x:row r="382" ht="28" customHeight="1">
      <x:c r="A382" s="16" t="str">
        <x:v>Томь-Усинская ГРЭС</x:v>
      </x:c>
      <x:c r="B382" s="16" t="str">
        <x:v>2000141037-U111</x:v>
      </x:c>
      <x:c r="C382" s="16" t="str">
        <x:v>АСБОКАРТОН КАОН 8ММ</x:v>
      </x:c>
      <x:c r="D382" s="16" t="str">
        <x:v>Асбо-технические изделия</x:v>
      </x:c>
      <x:c r="E382" s="16" t="str">
        <x:v>КГ</x:v>
      </x:c>
      <x:c r="F382" s="29" t="n">
        <x:v>60.3</x:v>
      </x:c>
      <x:c r="G382" s="17" t="n">
        <x:v>56.5104</x:v>
      </x:c>
      <x:c r="H382" s="17" t="n">
        <x:f>G382*F382</x:f>
        <x:v>3407.5771199999995</x:v>
      </x:c>
      <x:c r="I382" s="22" t="str">
        <x:f>HYPERLINK("https://etp-aktiv.ru/catalog/materialy/asbo-tekhnicheskie-izdeliya/2000141037-U111/","Открыть позицию")</x:f>
        <x:v>Открыть позицию</x:v>
      </x:c>
    </x:row>
    <x:row r="383" ht="28" customHeight="1">
      <x:c r="A383" s="16" t="str">
        <x:v>Томь-Усинская ГРЭС</x:v>
      </x:c>
      <x:c r="B383" s="16" t="str">
        <x:v>2000219940-U111</x:v>
      </x:c>
      <x:c r="C383" s="16" t="str">
        <x:v>ВОЙЛОК МУЛЛИТОКРЕМНЕЗЕМИСТЫЙ МКРВ-200</x:v>
      </x:c>
      <x:c r="D383" s="16" t="str">
        <x:v>Теплоизоляция</x:v>
      </x:c>
      <x:c r="E383" s="16" t="str">
        <x:v>КГ</x:v>
      </x:c>
      <x:c r="F383" s="29" t="n">
        <x:v>67.6</x:v>
      </x:c>
      <x:c r="G383" s="17" t="n">
        <x:v>230.0066</x:v>
      </x:c>
      <x:c r="H383" s="17" t="n">
        <x:f>G383*F383</x:f>
        <x:v>15548.446159999998</x:v>
      </x:c>
      <x:c r="I383" s="22" t="str">
        <x:f>HYPERLINK("https://etp-aktiv.ru/catalog/materialy/teploizolyaciya/2000219940-U111/","Открыть позицию")</x:f>
        <x:v>Открыть позицию</x:v>
      </x:c>
    </x:row>
    <x:row r="384" ht="28" customHeight="1">
      <x:c r="A384" s="16" t="str">
        <x:v>Томь-Усинская ГРЭС</x:v>
      </x:c>
      <x:c r="B384" s="16" t="str">
        <x:v>2000546517-U111</x:v>
      </x:c>
      <x:c r="C384" s="16" t="str">
        <x:v>КОЛЬЦО 170-180-58-2-2</x:v>
      </x:c>
      <x:c r="D384" s="16" t="str">
        <x:v>Резино-технические изделия прочие</x:v>
      </x:c>
      <x:c r="E384" s="16" t="str">
        <x:v>ШТ</x:v>
      </x:c>
      <x:c r="F384" s="21" t="n">
        <x:v>8</x:v>
      </x:c>
      <x:c r="G384" s="17" t="n">
        <x:v>58.840599999999995</x:v>
      </x:c>
      <x:c r="H384" s="17" t="n">
        <x:f>G384*F384</x:f>
        <x:v>470.72479999999996</x:v>
      </x:c>
      <x:c r="I384" s="22" t="str">
        <x:f>HYPERLINK("https://etp-aktiv.ru/catalog/materialy/rezino-tekhnicheskie-izdeliya/2000546517-U111/","Открыть позицию")</x:f>
        <x:v>Открыть позицию</x:v>
      </x:c>
    </x:row>
    <x:row r="385" ht="28" customHeight="1">
      <x:c r="A385" s="16" t="str">
        <x:v>Томь-Усинская ГРЭС</x:v>
      </x:c>
      <x:c r="B385" s="16" t="str">
        <x:v>2000572298-U111</x:v>
      </x:c>
      <x:c r="C385" s="16" t="str">
        <x:v>КОЛЬЦО 170-180-58-2-6 ГОСТ18829-2017</x:v>
      </x:c>
      <x:c r="D385" s="16" t="str">
        <x:v>Резино-технические изделия прочие</x:v>
      </x:c>
      <x:c r="E385" s="16" t="str">
        <x:v>ШТ</x:v>
      </x:c>
      <x:c r="F385" s="21" t="n">
        <x:v>3</x:v>
      </x:c>
      <x:c r="G385" s="17" t="n">
        <x:v>26.596</x:v>
      </x:c>
      <x:c r="H385" s="17" t="n">
        <x:f>G385*F385</x:f>
        <x:v>79.788</x:v>
      </x:c>
      <x:c r="I385" s="22" t="str">
        <x:f>HYPERLINK("https://etp-aktiv.ru/catalog/materialy/rezino-tekhnicheskie-izdeliya/2000572298-U111/","Открыть позицию")</x:f>
        <x:v>Открыть позицию</x:v>
      </x:c>
    </x:row>
    <x:row r="386" ht="28" customHeight="1">
      <x:c r="A386" s="16" t="str">
        <x:v>Томь-Усинская ГРЭС</x:v>
      </x:c>
      <x:c r="B386" s="16" t="str">
        <x:v>2000546509-U111</x:v>
      </x:c>
      <x:c r="C386" s="16" t="str">
        <x:v>КОЛЬЦО 235*245-58-2-2</x:v>
      </x:c>
      <x:c r="D386" s="16" t="str">
        <x:v>Резино-технические изделия прочие</x:v>
      </x:c>
      <x:c r="E386" s="16" t="str">
        <x:v>ШТ</x:v>
      </x:c>
      <x:c r="F386" s="21" t="n">
        <x:v>8</x:v>
      </x:c>
      <x:c r="G386" s="17" t="n">
        <x:v>60.40219999999999</x:v>
      </x:c>
      <x:c r="H386" s="17" t="n">
        <x:f>G386*F386</x:f>
        <x:v>483.21759999999995</x:v>
      </x:c>
      <x:c r="I386" s="22" t="str">
        <x:f>HYPERLINK("https://etp-aktiv.ru/catalog/materialy/rezino-tekhnicheskie-izdeliya/2000546509-U111/","Открыть позицию")</x:f>
        <x:v>Открыть позицию</x:v>
      </x:c>
    </x:row>
    <x:row r="387" ht="28" customHeight="1">
      <x:c r="A387" s="16" t="str">
        <x:v>Томь-Усинская ГРЭС</x:v>
      </x:c>
      <x:c r="B387" s="16" t="str">
        <x:v>2000572300-U111</x:v>
      </x:c>
      <x:c r="C387" s="16" t="str">
        <x:v>КОЛЬЦО 235-245-58-2-6 ГОСТ18829-2017</x:v>
      </x:c>
      <x:c r="D387" s="16" t="str">
        <x:v>Резино-технические изделия прочие</x:v>
      </x:c>
      <x:c r="E387" s="16" t="str">
        <x:v>ШТ</x:v>
      </x:c>
      <x:c r="F387" s="21" t="n">
        <x:v>3</x:v>
      </x:c>
      <x:c r="G387" s="17" t="n">
        <x:v>933.3</x:v>
      </x:c>
      <x:c r="H387" s="17" t="n">
        <x:f>G387*F387</x:f>
        <x:v>2799.8999999999996</x:v>
      </x:c>
      <x:c r="I387" s="22" t="str">
        <x:f>HYPERLINK("https://etp-aktiv.ru/catalog/materialy/rezino-tekhnicheskie-izdeliya/2000572300-U111/","Открыть позицию")</x:f>
        <x:v>Открыть позицию</x:v>
      </x:c>
    </x:row>
    <x:row r="388" ht="28" customHeight="1">
      <x:c r="A388" s="16" t="str">
        <x:v>Томь-Усинская ГРЭС</x:v>
      </x:c>
      <x:c r="B388" s="16" t="str">
        <x:v>2000283549-U111</x:v>
      </x:c>
      <x:c r="C388" s="16" t="str">
        <x:v>КОЛЬЦО 280-290-58-2-2</x:v>
      </x:c>
      <x:c r="D388" s="16" t="str">
        <x:v>Резино-технические изделия прочие</x:v>
      </x:c>
      <x:c r="E388" s="16" t="str">
        <x:v>ШТ</x:v>
      </x:c>
      <x:c r="F388" s="21" t="n">
        <x:v>8</x:v>
      </x:c>
      <x:c r="G388" s="17" t="n">
        <x:v>94.2938</x:v>
      </x:c>
      <x:c r="H388" s="17" t="n">
        <x:f>G388*F388</x:f>
        <x:v>754.3504</x:v>
      </x:c>
      <x:c r="I388" s="22" t="str">
        <x:f>HYPERLINK("https://etp-aktiv.ru/catalog/materialy/rezino-tekhnicheskie-izdeliya/2000283549-U111/","Открыть позицию")</x:f>
        <x:v>Открыть позицию</x:v>
      </x:c>
    </x:row>
    <x:row r="389" ht="28" customHeight="1">
      <x:c r="A389" s="16" t="str">
        <x:v>Томь-Усинская ГРЭС</x:v>
      </x:c>
      <x:c r="B389" s="16" t="str">
        <x:v>2000572301-U111</x:v>
      </x:c>
      <x:c r="C389" s="16" t="str">
        <x:v>КОЛЬЦО 280-290-58-2-6 ГОСТ18829-2017</x:v>
      </x:c>
      <x:c r="D389" s="16" t="str">
        <x:v>Резино-технические изделия прочие</x:v>
      </x:c>
      <x:c r="E389" s="16" t="str">
        <x:v>ШТ</x:v>
      </x:c>
      <x:c r="F389" s="21" t="n">
        <x:v>3</x:v>
      </x:c>
      <x:c r="G389" s="17" t="n">
        <x:v>933.3</x:v>
      </x:c>
      <x:c r="H389" s="17" t="n">
        <x:f>G389*F389</x:f>
        <x:v>2799.8999999999996</x:v>
      </x:c>
      <x:c r="I389" s="22" t="str">
        <x:f>HYPERLINK("https://etp-aktiv.ru/catalog/materialy/rezino-tekhnicheskie-izdeliya/2000572301-U111/","Открыть позицию")</x:f>
        <x:v>Открыть позицию</x:v>
      </x:c>
    </x:row>
    <x:row r="390" ht="28" customHeight="1">
      <x:c r="A390" s="16" t="str">
        <x:v>Томь-Усинская ГРЭС</x:v>
      </x:c>
      <x:c r="B390" s="16" t="str">
        <x:v>2000538980-U111</x:v>
      </x:c>
      <x:c r="C390" s="16" t="str">
        <x:v>КОЛЬЦО АГ-50 135*104*15,5</x:v>
      </x:c>
      <x:c r="D390" s="16" t="str">
        <x:v>Асбо-технические изделия</x:v>
      </x:c>
      <x:c r="E390" s="16" t="str">
        <x:v>ШТ</x:v>
      </x:c>
      <x:c r="F390" s="21" t="n">
        <x:v>10</x:v>
      </x:c>
      <x:c r="G390" s="17" t="n">
        <x:v>565.4578</x:v>
      </x:c>
      <x:c r="H390" s="17" t="n">
        <x:f>G390*F390</x:f>
        <x:v>5654.578</x:v>
      </x:c>
      <x:c r="I390" s="22" t="str">
        <x:f>HYPERLINK("https://etp-aktiv.ru/catalog/materialy/asbo-tekhnicheskie-izdeliya/2000538980-U111/","Открыть позицию")</x:f>
        <x:v>Открыть позицию</x:v>
      </x:c>
    </x:row>
    <x:row r="391" ht="28" customHeight="1">
      <x:c r="A391" s="16" t="str">
        <x:v>Томь-Усинская ГРЭС</x:v>
      </x:c>
      <x:c r="B391" s="16" t="str">
        <x:v>2000538986-U111</x:v>
      </x:c>
      <x:c r="C391" s="16" t="str">
        <x:v>КОЛЬЦО АГ-50 250*225*12,5</x:v>
      </x:c>
      <x:c r="D391" s="16" t="str">
        <x:v>Асбо-технические изделия</x:v>
      </x:c>
      <x:c r="E391" s="16" t="str">
        <x:v>ШТ</x:v>
      </x:c>
      <x:c r="F391" s="21" t="n">
        <x:v>216</x:v>
      </x:c>
      <x:c r="G391" s="17" t="n">
        <x:v>1039.0618</x:v>
      </x:c>
      <x:c r="H391" s="17" t="n">
        <x:f>G391*F391</x:f>
        <x:v>224437.34879999998</x:v>
      </x:c>
      <x:c r="I391" s="22" t="str">
        <x:f>HYPERLINK("https://etp-aktiv.ru/catalog/materialy/asbo-tekhnicheskie-izdeliya/2000538986-U111/","Открыть позицию")</x:f>
        <x:v>Открыть позицию</x:v>
      </x:c>
    </x:row>
    <x:row r="392" ht="28" customHeight="1">
      <x:c r="A392" s="16" t="str">
        <x:v>Томь-Усинская ГРЭС</x:v>
      </x:c>
      <x:c r="B392" s="16" t="str">
        <x:v>2000538993-U111</x:v>
      </x:c>
      <x:c r="C392" s="16" t="str">
        <x:v>КОЛЬЦО АГ-50 360*320*20</x:v>
      </x:c>
      <x:c r="D392" s="16" t="str">
        <x:v>Асбо-технические изделия</x:v>
      </x:c>
      <x:c r="E392" s="16" t="str">
        <x:v>ШТ</x:v>
      </x:c>
      <x:c r="F392" s="21" t="n">
        <x:v>3</x:v>
      </x:c>
      <x:c r="G392" s="17" t="n">
        <x:v>1971.8006</x:v>
      </x:c>
      <x:c r="H392" s="17" t="n">
        <x:f>G392*F392</x:f>
        <x:v>5915.4018</x:v>
      </x:c>
      <x:c r="I392" s="22" t="str">
        <x:f>HYPERLINK("https://etp-aktiv.ru/catalog/materialy/asbo-tekhnicheskie-izdeliya/2000538993-U111/","Открыть позицию")</x:f>
        <x:v>Открыть позицию</x:v>
      </x:c>
    </x:row>
    <x:row r="393" ht="28" customHeight="1">
      <x:c r="A393" s="16" t="str">
        <x:v>Томь-Усинская ГРЭС</x:v>
      </x:c>
      <x:c r="B393" s="16" t="str">
        <x:v>2000538998-U111</x:v>
      </x:c>
      <x:c r="C393" s="16" t="str">
        <x:v>КОЛЬЦО АГ-50 78*52*13</x:v>
      </x:c>
      <x:c r="D393" s="16" t="str">
        <x:v>Асбо-технические изделия</x:v>
      </x:c>
      <x:c r="E393" s="16" t="str">
        <x:v>ШТ</x:v>
      </x:c>
      <x:c r="F393" s="21" t="n">
        <x:v>361</x:v>
      </x:c>
      <x:c r="G393" s="17" t="n">
        <x:v>252.96699999999998</x:v>
      </x:c>
      <x:c r="H393" s="17" t="n">
        <x:f>G393*F393</x:f>
        <x:v>91321.087</x:v>
      </x:c>
      <x:c r="I393" s="22" t="str">
        <x:f>HYPERLINK("https://etp-aktiv.ru/catalog/materialy/asbo-tekhnicheskie-izdeliya/2000538998-U111/","Открыть позицию")</x:f>
        <x:v>Открыть позицию</x:v>
      </x:c>
    </x:row>
    <x:row r="394" ht="28" customHeight="1">
      <x:c r="A394" s="16" t="str">
        <x:v>Томь-Усинская ГРЭС</x:v>
      </x:c>
      <x:c r="B394" s="16" t="str">
        <x:v>2000539000-U111</x:v>
      </x:c>
      <x:c r="C394" s="16" t="str">
        <x:v>КОЛЬЦО АСБОГРАФИТОВОЕ АГ-50 32*20*6</x:v>
      </x:c>
      <x:c r="D394" s="16" t="str">
        <x:v>Асбо-технические изделия</x:v>
      </x:c>
      <x:c r="E394" s="16" t="str">
        <x:v>ШТ</x:v>
      </x:c>
      <x:c r="F394" s="21" t="n">
        <x:v>10</x:v>
      </x:c>
      <x:c r="G394" s="17" t="n">
        <x:v>159.21</x:v>
      </x:c>
      <x:c r="H394" s="17" t="n">
        <x:f>G394*F394</x:f>
        <x:v>1592.1000000000001</x:v>
      </x:c>
      <x:c r="I394" s="22" t="str">
        <x:f>HYPERLINK("https://etp-aktiv.ru/catalog/materialy/asbo-tekhnicheskie-izdeliya/2000539000-U111/","Открыть позицию")</x:f>
        <x:v>Открыть позицию</x:v>
      </x:c>
    </x:row>
    <x:row r="395" ht="28" customHeight="1">
      <x:c r="A395" s="16" t="str">
        <x:v>Томь-Усинская ГРЭС</x:v>
      </x:c>
      <x:c r="B395" s="16" t="str">
        <x:v>2000574327-U111</x:v>
      </x:c>
      <x:c r="C395" s="16" t="str">
        <x:v>КОЛЬЦО КГФ-Г 130*114*8 5728-008-13267785</x:v>
      </x:c>
      <x:c r="D395" s="16" t="str">
        <x:v>Асбо-технические изделия</x:v>
      </x:c>
      <x:c r="E395" s="16" t="str">
        <x:v>ШТ</x:v>
      </x:c>
      <x:c r="F395" s="21" t="n">
        <x:v>23</x:v>
      </x:c>
      <x:c r="G395" s="17" t="n">
        <x:v>678.1736</x:v>
      </x:c>
      <x:c r="H395" s="17" t="n">
        <x:f>G395*F395</x:f>
        <x:v>15597.9928</x:v>
      </x:c>
      <x:c r="I395" s="22" t="str">
        <x:f>HYPERLINK("https://etp-aktiv.ru/catalog/materialy/asbo-tekhnicheskie-izdeliya/2000574327-U111/","Открыть позицию")</x:f>
        <x:v>Открыть позицию</x:v>
      </x:c>
    </x:row>
    <x:row r="396" ht="28" customHeight="1">
      <x:c r="A396" s="16" t="str">
        <x:v>Томь-Усинская ГРЭС</x:v>
      </x:c>
      <x:c r="B396" s="16" t="str">
        <x:v>2000539027-U111</x:v>
      </x:c>
      <x:c r="C396" s="16" t="str">
        <x:v>КОЛЬЦО КГФ-Г-П2 300*270*15</x:v>
      </x:c>
      <x:c r="D396" s="16" t="str">
        <x:v>Асбо-технические изделия</x:v>
      </x:c>
      <x:c r="E396" s="16" t="str">
        <x:v>ШТ</x:v>
      </x:c>
      <x:c r="F396" s="21" t="n">
        <x:v>12</x:v>
      </x:c>
      <x:c r="G396" s="17" t="n">
        <x:v>558.4671999999999</x:v>
      </x:c>
      <x:c r="H396" s="17" t="n">
        <x:f>G396*F396</x:f>
        <x:v>6701.606399999999</x:v>
      </x:c>
      <x:c r="I396" s="22" t="str">
        <x:f>HYPERLINK("https://etp-aktiv.ru/catalog/materialy/asbo-tekhnicheskie-izdeliya/2000539027-U111/","Открыть позицию")</x:f>
        <x:v>Открыть позицию</x:v>
      </x:c>
    </x:row>
    <x:row r="397" ht="28" customHeight="1">
      <x:c r="A397" s="16" t="str">
        <x:v>Томь-Усинская ГРЭС</x:v>
      </x:c>
      <x:c r="B397" s="16" t="str">
        <x:v>2000539032-U111</x:v>
      </x:c>
      <x:c r="C397" s="16" t="str">
        <x:v>КОЛЬЦО КГФ-Г-ПО 300*270*15</x:v>
      </x:c>
      <x:c r="D397" s="16" t="str">
        <x:v>Асбо-технические изделия</x:v>
      </x:c>
      <x:c r="E397" s="16" t="str">
        <x:v>ШТ</x:v>
      </x:c>
      <x:c r="F397" s="21" t="n">
        <x:v>10</x:v>
      </x:c>
      <x:c r="G397" s="17" t="n">
        <x:v>450.89979999999997</x:v>
      </x:c>
      <x:c r="H397" s="17" t="n">
        <x:f>G397*F397</x:f>
        <x:v>4508.998</x:v>
      </x:c>
      <x:c r="I397" s="22" t="str">
        <x:f>HYPERLINK("https://etp-aktiv.ru/catalog/materialy/asbo-tekhnicheskie-izdeliya/2000539032-U111/","Открыть позицию")</x:f>
        <x:v>Открыть позицию</x:v>
      </x:c>
    </x:row>
    <x:row r="398" ht="28" customHeight="1">
      <x:c r="A398" s="16" t="str">
        <x:v>Томь-Усинская ГРЭС</x:v>
      </x:c>
      <x:c r="B398" s="16" t="str">
        <x:v>2000074098-U111</x:v>
      </x:c>
      <x:c r="C398" s="16" t="str">
        <x:v>КОЛЬЦО УПЛОТНИТЕЛЬНОЕ 008-012-25-2-3</x:v>
      </x:c>
      <x:c r="D398" s="16" t="str">
        <x:v>Резино-технические изделия прочие</x:v>
      </x:c>
      <x:c r="E398" s="16" t="str">
        <x:v>ШТ</x:v>
      </x:c>
      <x:c r="F398" s="21" t="n">
        <x:v>98</x:v>
      </x:c>
      <x:c r="G398" s="17" t="n">
        <x:v>1.3785999999999998</x:v>
      </x:c>
      <x:c r="H398" s="17" t="n">
        <x:f>G398*F398</x:f>
        <x:v>135.10279999999997</x:v>
      </x:c>
      <x:c r="I398" s="22" t="str">
        <x:f>HYPERLINK("https://etp-aktiv.ru/catalog/materialy/rezino-tekhnicheskie-izdeliya/2000074098-U111/","Открыть позицию")</x:f>
        <x:v>Открыть позицию</x:v>
      </x:c>
    </x:row>
    <x:row r="399" ht="28" customHeight="1">
      <x:c r="A399" s="16" t="str">
        <x:v>Томь-Усинская ГРЭС</x:v>
      </x:c>
      <x:c r="B399" s="16" t="str">
        <x:v>2000000942-U111</x:v>
      </x:c>
      <x:c r="C399" s="16" t="str">
        <x:v>КОЛЬЦО УПЛОТНИТЕЛЬНОЕ 190-200-58-2-2</x:v>
      </x:c>
      <x:c r="D399" s="16" t="str">
        <x:v>Резино-технические изделия прочие</x:v>
      </x:c>
      <x:c r="E399" s="16" t="str">
        <x:v>ШТ</x:v>
      </x:c>
      <x:c r="F399" s="21" t="n">
        <x:v>8</x:v>
      </x:c>
      <x:c r="G399" s="17" t="n">
        <x:v>73.017</x:v>
      </x:c>
      <x:c r="H399" s="17" t="n">
        <x:f>G399*F399</x:f>
        <x:v>584.136</x:v>
      </x:c>
      <x:c r="I399" s="22" t="str">
        <x:f>HYPERLINK("https://etp-aktiv.ru/catalog/materialy/rezino-tekhnicheskie-izdeliya/2000000942-U111/","Открыть позицию")</x:f>
        <x:v>Открыть позицию</x:v>
      </x:c>
    </x:row>
    <x:row r="400" ht="28" customHeight="1">
      <x:c r="A400" s="16" t="str">
        <x:v>Томь-Усинская ГРЭС</x:v>
      </x:c>
      <x:c r="B400" s="16" t="str">
        <x:v>2000692153-U111</x:v>
      </x:c>
      <x:c r="C400" s="16" t="str">
        <x:v>КРОШКА ДИАТОМИТОВАЯ 0,16-2,2 ТУ5712-006</x:v>
      </x:c>
      <x:c r="D400" s="16" t="str">
        <x:v>Огнеупорные материалы</x:v>
      </x:c>
      <x:c r="E400" s="16" t="str">
        <x:v>М3</x:v>
      </x:c>
      <x:c r="F400" s="30" t="n">
        <x:v>0.685</x:v>
      </x:c>
      <x:c r="G400" s="17" t="n">
        <x:v>11779.649000000001</x:v>
      </x:c>
      <x:c r="H400" s="17" t="n">
        <x:f>G400*F400</x:f>
        <x:v>8069.059565000001</x:v>
      </x:c>
      <x:c r="I400" s="22" t="str">
        <x:f>HYPERLINK("https://etp-aktiv.ru/catalog/materialy/ogneupornye-materialy/2000692153-U111/","Открыть позицию")</x:f>
        <x:v>Открыть позицию</x:v>
      </x:c>
    </x:row>
    <x:row r="401" ht="28" customHeight="1">
      <x:c r="A401" s="16" t="str">
        <x:v>Томь-Усинская ГРЭС</x:v>
      </x:c>
      <x:c r="B401" s="16" t="str">
        <x:v>2000546823-U111</x:v>
      </x:c>
      <x:c r="C401" s="16" t="str">
        <x:v>МАНЖЕТА 1,2-110*135-1 ГОСТ8752-79</x:v>
      </x:c>
      <x:c r="D401" s="16" t="str">
        <x:v>Резино-технические изделия прочие</x:v>
      </x:c>
      <x:c r="E401" s="16" t="str">
        <x:v>ШТ</x:v>
      </x:c>
      <x:c r="F401" s="21" t="n">
        <x:v>170</x:v>
      </x:c>
      <x:c r="G401" s="17" t="n">
        <x:v>37.6126</x:v>
      </x:c>
      <x:c r="H401" s="17" t="n">
        <x:f>G401*F401</x:f>
        <x:v>6394.142</x:v>
      </x:c>
      <x:c r="I401" s="22" t="str">
        <x:f>HYPERLINK("https://etp-aktiv.ru/catalog/materialy/rezino-tekhnicheskie-izdeliya/2000546823-U111/","Открыть позицию")</x:f>
        <x:v>Открыть позицию</x:v>
      </x:c>
    </x:row>
    <x:row r="402" ht="28" customHeight="1">
      <x:c r="A402" s="16" t="str">
        <x:v>Томь-Усинская ГРЭС</x:v>
      </x:c>
      <x:c r="B402" s="16" t="str">
        <x:v>2000546830-U111</x:v>
      </x:c>
      <x:c r="C402" s="16" t="str">
        <x:v>МАНЖЕТА 1,2-140*170-2 ГОСТ8752-79</x:v>
      </x:c>
      <x:c r="D402" s="16" t="str">
        <x:v>Резино-технические изделия прочие</x:v>
      </x:c>
      <x:c r="E402" s="16" t="str">
        <x:v>ШТ</x:v>
      </x:c>
      <x:c r="F402" s="21" t="n">
        <x:v>10</x:v>
      </x:c>
      <x:c r="G402" s="17" t="n">
        <x:v>114.9972</x:v>
      </x:c>
      <x:c r="H402" s="17" t="n">
        <x:f>G402*F402</x:f>
        <x:v>1149.972</x:v>
      </x:c>
      <x:c r="I402" s="22" t="str">
        <x:f>HYPERLINK("https://etp-aktiv.ru/catalog/materialy/rezino-tekhnicheskie-izdeliya/2000546830-U111/","Открыть позицию")</x:f>
        <x:v>Открыть позицию</x:v>
      </x:c>
    </x:row>
    <x:row r="403" ht="28" customHeight="1">
      <x:c r="A403" s="16" t="str">
        <x:v>Томь-Усинская ГРЭС</x:v>
      </x:c>
      <x:c r="B403" s="16" t="str">
        <x:v>2000136549-U111</x:v>
      </x:c>
      <x:c r="C403" s="16" t="str">
        <x:v>МАНЖЕТА 1,2-170*200-2 ГОСТ8752-79</x:v>
      </x:c>
      <x:c r="D403" s="16" t="str">
        <x:v>Резино-технические изделия прочие</x:v>
      </x:c>
      <x:c r="E403" s="16" t="str">
        <x:v>ШТ</x:v>
      </x:c>
      <x:c r="F403" s="21" t="n">
        <x:v>8</x:v>
      </x:c>
      <x:c r="G403" s="17" t="n">
        <x:v>125.7942</x:v>
      </x:c>
      <x:c r="H403" s="17" t="n">
        <x:f>G403*F403</x:f>
        <x:v>1006.3536</x:v>
      </x:c>
      <x:c r="I403" s="22" t="str">
        <x:f>HYPERLINK("https://etp-aktiv.ru/catalog/materialy/rezino-tekhnicheskie-izdeliya/2000136549-U111/","Открыть позицию")</x:f>
        <x:v>Открыть позицию</x:v>
      </x:c>
    </x:row>
    <x:row r="404" ht="28" customHeight="1">
      <x:c r="A404" s="16" t="str">
        <x:v>Томь-Усинская ГРЭС</x:v>
      </x:c>
      <x:c r="B404" s="16" t="str">
        <x:v>2000140982-U111</x:v>
      </x:c>
      <x:c r="C404" s="16" t="str">
        <x:v>НАБИВКА АГИ 13ММ ГОСТ5152-84</x:v>
      </x:c>
      <x:c r="D404" s="16" t="str">
        <x:v>Асбо-технические изделия</x:v>
      </x:c>
      <x:c r="E404" s="16" t="str">
        <x:v>КГ</x:v>
      </x:c>
      <x:c r="F404" s="21" t="n">
        <x:v>19</x:v>
      </x:c>
      <x:c r="G404" s="17" t="n">
        <x:v>297.375</x:v>
      </x:c>
      <x:c r="H404" s="17" t="n">
        <x:f>G404*F404</x:f>
        <x:v>5650.125</x:v>
      </x:c>
      <x:c r="I404" s="22" t="str">
        <x:f>HYPERLINK("https://etp-aktiv.ru/catalog/materialy/asbo-tekhnicheskie-izdeliya/2000140982-U111/","Открыть позицию")</x:f>
        <x:v>Открыть позицию</x:v>
      </x:c>
    </x:row>
    <x:row r="405" ht="28" customHeight="1">
      <x:c r="A405" s="16" t="str">
        <x:v>Томь-Усинская ГРЭС</x:v>
      </x:c>
      <x:c r="B405" s="16" t="str">
        <x:v>2000165107-U111</x:v>
      </x:c>
      <x:c r="C405" s="16" t="str">
        <x:v>НАБИВКА АПР-31 13*13ММ</x:v>
      </x:c>
      <x:c r="D405" s="16" t="str">
        <x:v>Асбо-технические изделия</x:v>
      </x:c>
      <x:c r="E405" s="16" t="str">
        <x:v>КГ</x:v>
      </x:c>
      <x:c r="F405" s="29" t="n">
        <x:v>13.5</x:v>
      </x:c>
      <x:c r="G405" s="17" t="n">
        <x:v>291.7752</x:v>
      </x:c>
      <x:c r="H405" s="17" t="n">
        <x:f>G405*F405</x:f>
        <x:v>3938.9651999999996</x:v>
      </x:c>
      <x:c r="I405" s="22" t="str">
        <x:f>HYPERLINK("https://etp-aktiv.ru/catalog/materialy/asbo-tekhnicheskie-izdeliya/2000165107-U111/","Открыть позицию")</x:f>
        <x:v>Открыть позицию</x:v>
      </x:c>
    </x:row>
    <x:row r="406" ht="28" customHeight="1">
      <x:c r="A406" s="16" t="str">
        <x:v>Томь-Усинская ГРЭС</x:v>
      </x:c>
      <x:c r="B406" s="16" t="str">
        <x:v>2000673492-U111</x:v>
      </x:c>
      <x:c r="C406" s="16" t="str">
        <x:v>НАБИВКА САЛЬНИКОВАЯ АС 14*14ММ</x:v>
      </x:c>
      <x:c r="D406" s="16" t="str">
        <x:v>Асбо-технические изделия</x:v>
      </x:c>
      <x:c r="E406" s="16" t="str">
        <x:v>КГ</x:v>
      </x:c>
      <x:c r="F406" s="29" t="n">
        <x:v>40.2</x:v>
      </x:c>
      <x:c r="G406" s="17" t="n">
        <x:v>501.42</x:v>
      </x:c>
      <x:c r="H406" s="17" t="n">
        <x:f>G406*F406</x:f>
        <x:v>20157.084000000003</x:v>
      </x:c>
      <x:c r="I406" s="22" t="str">
        <x:f>HYPERLINK("https://etp-aktiv.ru/catalog/materialy/asbo-tekhnicheskie-izdeliya/2000673492-U111/","Открыть позицию")</x:f>
        <x:v>Открыть позицию</x:v>
      </x:c>
    </x:row>
    <x:row r="407" ht="28" customHeight="1">
      <x:c r="A407" s="16" t="str">
        <x:v>Томь-Усинская ГРЭС</x:v>
      </x:c>
      <x:c r="B407" s="16" t="str">
        <x:v>2000548997-U111</x:v>
      </x:c>
      <x:c r="C407" s="16" t="str">
        <x:v>ПЛИТА ПЦ 500*500*100</x:v>
      </x:c>
      <x:c r="D407" s="16" t="str">
        <x:v>Теплоизоляция</x:v>
      </x:c>
      <x:c r="E407" s="16" t="str">
        <x:v>М3</x:v>
      </x:c>
      <x:c r="F407" s="30" t="n">
        <x:v>0.18</x:v>
      </x:c>
      <x:c r="G407" s="17" t="n">
        <x:v>30561</x:v>
      </x:c>
      <x:c r="H407" s="17" t="n">
        <x:f>G407*F407</x:f>
        <x:v>5500.98</x:v>
      </x:c>
      <x:c r="I407" s="22" t="str">
        <x:f>HYPERLINK("https://etp-aktiv.ru/catalog/materialy/teploizolyaciya/2000548997-U111/","Открыть позицию")</x:f>
        <x:v>Открыть позицию</x:v>
      </x:c>
    </x:row>
    <x:row r="408" ht="28" customHeight="1">
      <x:c r="A408" s="16" t="str">
        <x:v>Томь-Усинская ГРЭС</x:v>
      </x:c>
      <x:c r="B408" s="16" t="str">
        <x:v>2000738654-U111</x:v>
      </x:c>
      <x:c r="C408" s="16" t="str">
        <x:v>ПРОКЛАДКА ПГФ-Г-В-32-07 715*700*9</x:v>
      </x:c>
      <x:c r="D408" s="16" t="str">
        <x:v>Асбо-технические изделия</x:v>
      </x:c>
      <x:c r="E408" s="16" t="str">
        <x:v>ШТ</x:v>
      </x:c>
      <x:c r="F408" s="21" t="n">
        <x:v>1</x:v>
      </x:c>
      <x:c r="G408" s="17" t="n">
        <x:v>6948.815</x:v>
      </x:c>
      <x:c r="H408" s="17" t="n">
        <x:f>G408*F408</x:f>
        <x:v>6948.815</x:v>
      </x:c>
      <x:c r="I408" s="22" t="str">
        <x:f>HYPERLINK("https://etp-aktiv.ru/catalog/materialy/asbo-tekhnicheskie-izdeliya/2000738654-U111/","Открыть позицию")</x:f>
        <x:v>Открыть позицию</x:v>
      </x:c>
    </x:row>
    <x:row r="409" ht="28" customHeight="1">
      <x:c r="A409" s="16" t="str">
        <x:v>Томь-Усинская ГРЭС</x:v>
      </x:c>
      <x:c r="B409" s="16" t="str">
        <x:v>2000739026-U111</x:v>
      </x:c>
      <x:c r="C409" s="16" t="str">
        <x:v>ПРОКЛАДКА ФЛАН ПОГФ-Г-3.1-Н-32 685*660*5</x:v>
      </x:c>
      <x:c r="D409" s="16" t="str">
        <x:v>Асбо-технические изделия</x:v>
      </x:c>
      <x:c r="E409" s="16" t="str">
        <x:v>ШТ</x:v>
      </x:c>
      <x:c r="F409" s="21" t="n">
        <x:v>3</x:v>
      </x:c>
      <x:c r="G409" s="17" t="n">
        <x:v>4212.6844</x:v>
      </x:c>
      <x:c r="H409" s="17" t="n">
        <x:f>G409*F409</x:f>
        <x:v>12638.0532</x:v>
      </x:c>
      <x:c r="I409" s="22" t="str">
        <x:f>HYPERLINK("https://etp-aktiv.ru/catalog/materialy/asbo-tekhnicheskie-izdeliya/2000739026-U111/","Открыть позицию")</x:f>
        <x:v>Открыть позицию</x:v>
      </x:c>
    </x:row>
    <x:row r="410" ht="28" customHeight="1">
      <x:c r="A410" s="16" t="str">
        <x:v>Томь-Усинская ГРЭС</x:v>
      </x:c>
      <x:c r="B410" s="16" t="str">
        <x:v>2000472559-U111</x:v>
      </x:c>
      <x:c r="C410" s="16" t="str">
        <x:v>РЕМЕНЬ КЛИНОВОЙ AVX 10X970М1</x:v>
      </x:c>
      <x:c r="D410" s="16" t="str">
        <x:v>Резино-технические изделия прочие</x:v>
      </x:c>
      <x:c r="E410" s="16" t="str">
        <x:v>ШТ</x:v>
      </x:c>
      <x:c r="F410" s="21" t="n">
        <x:v>3</x:v>
      </x:c>
      <x:c r="G410" s="17" t="n">
        <x:v>2799.9</x:v>
      </x:c>
      <x:c r="H410" s="17" t="n">
        <x:f>G410*F410</x:f>
        <x:v>8399.7</x:v>
      </x:c>
      <x:c r="I410" s="22" t="str">
        <x:f>HYPERLINK("https://etp-aktiv.ru/catalog/materialy/rezino-tekhnicheskie-izdeliya/2000472559-U111/","Открыть позицию")</x:f>
        <x:v>Открыть позицию</x:v>
      </x:c>
    </x:row>
    <x:row r="411" ht="28" customHeight="1">
      <x:c r="A411" s="16" t="str">
        <x:v>Томь-Усинская ГРЭС</x:v>
      </x:c>
      <x:c r="B411" s="16" t="str">
        <x:v>2000549012-U111</x:v>
      </x:c>
      <x:c r="C411" s="16" t="str">
        <x:v>РУБЕРОИД РКП-350 1*15М</x:v>
      </x:c>
      <x:c r="D411" s="16" t="str">
        <x:v>Теплоизоляция</x:v>
      </x:c>
      <x:c r="E411" s="16" t="str">
        <x:v>ШТ</x:v>
      </x:c>
      <x:c r="F411" s="21" t="n">
        <x:v>15</x:v>
      </x:c>
      <x:c r="G411" s="17" t="n">
        <x:v>729.682</x:v>
      </x:c>
      <x:c r="H411" s="17" t="n">
        <x:f>G411*F411</x:f>
        <x:v>10945.23</x:v>
      </x:c>
      <x:c r="I411" s="22" t="str">
        <x:f>HYPERLINK("https://etp-aktiv.ru/catalog/materialy/teploizolyaciya/2000549012-U111/","Открыть позицию")</x:f>
        <x:v>Открыть позицию</x:v>
      </x:c>
    </x:row>
    <x:row r="412" ht="28" customHeight="1">
      <x:c r="A412" s="16" t="str">
        <x:v>Томь-Усинская ГРЭС</x:v>
      </x:c>
      <x:c r="B412" s="16" t="str">
        <x:v>2000547160-U111</x:v>
      </x:c>
      <x:c r="C412" s="16" t="str">
        <x:v>РУКАВ 50,0*61,5-1,6 ГОСТ10362-76</x:v>
      </x:c>
      <x:c r="D412" s="16" t="str">
        <x:v>Резино-технические изделия прочие</x:v>
      </x:c>
      <x:c r="E412" s="16" t="str">
        <x:v>ПМ</x:v>
      </x:c>
      <x:c r="F412" s="29" t="n">
        <x:v>127.3</x:v>
      </x:c>
      <x:c r="G412" s="17" t="n">
        <x:v>465.5032</x:v>
      </x:c>
      <x:c r="H412" s="17" t="n">
        <x:f>G412*F412</x:f>
        <x:v>59258.55736</x:v>
      </x:c>
      <x:c r="I412" s="22" t="str">
        <x:f>HYPERLINK("https://etp-aktiv.ru/catalog/materialy/rezino-tekhnicheskie-izdeliya/2000547160-U111/","Открыть позицию")</x:f>
        <x:v>Открыть позицию</x:v>
      </x:c>
    </x:row>
    <x:row r="413" ht="28" customHeight="1">
      <x:c r="A413" s="16" t="str">
        <x:v>Томь-Усинская ГРЭС</x:v>
      </x:c>
      <x:c r="B413" s="16" t="str">
        <x:v>2000547102-U111</x:v>
      </x:c>
      <x:c r="C413" s="16" t="str">
        <x:v>РУКАВ I-9-0,63 ГОСТ9356-75 ПРОПАН</x:v>
      </x:c>
      <x:c r="D413" s="16" t="str">
        <x:v>Резино-технические изделия прочие</x:v>
      </x:c>
      <x:c r="E413" s="16" t="str">
        <x:v>ПМ</x:v>
      </x:c>
      <x:c r="F413" s="21" t="n">
        <x:v>580</x:v>
      </x:c>
      <x:c r="G413" s="17" t="n">
        <x:v>36.4048</x:v>
      </x:c>
      <x:c r="H413" s="17" t="n">
        <x:f>G413*F413</x:f>
        <x:v>21114.784</x:v>
      </x:c>
      <x:c r="I413" s="22" t="str">
        <x:f>HYPERLINK("https://etp-aktiv.ru/catalog/materialy/rezino-tekhnicheskie-izdeliya/2000547102-U111/","Открыть позицию")</x:f>
        <x:v>Открыть позицию</x:v>
      </x:c>
    </x:row>
    <x:row r="414" ht="28" customHeight="1">
      <x:c r="A414" s="16" t="str">
        <x:v>Томь-Усинская ГРЭС</x:v>
      </x:c>
      <x:c r="B414" s="16" t="str">
        <x:v>2000655600-U111</x:v>
      </x:c>
      <x:c r="C414" s="16" t="str">
        <x:v>РУКАВ НАПОРНЫЙ МБС 8*15,5-1,0 ГОСТ10362</x:v>
      </x:c>
      <x:c r="D414" s="16" t="str">
        <x:v>Резино-технические изделия проч специализирован и под заказ</x:v>
      </x:c>
      <x:c r="E414" s="16" t="str">
        <x:v>ПМ</x:v>
      </x:c>
      <x:c r="F414" s="21" t="n">
        <x:v>50</x:v>
      </x:c>
      <x:c r="G414" s="17" t="n">
        <x:v>66.99019999999999</x:v>
      </x:c>
      <x:c r="H414" s="17" t="n">
        <x:f>G414*F414</x:f>
        <x:v>3349.5099999999993</x:v>
      </x:c>
      <x:c r="I414" s="22" t="str">
        <x:f>HYPERLINK("https://etp-aktiv.ru/catalog/materialy/rezino-tekhnicheskie-izdeliya/2000655600-U111/","Открыть позицию")</x:f>
        <x:v>Открыть позицию</x:v>
      </x:c>
    </x:row>
    <x:row r="415" ht="28" customHeight="1">
      <x:c r="A415" s="16" t="str">
        <x:v>Томь-Усинская ГРЭС</x:v>
      </x:c>
      <x:c r="B415" s="16" t="str">
        <x:v>2000547062-U111</x:v>
      </x:c>
      <x:c r="C415" s="16" t="str">
        <x:v>ТЕХПЛАСТ 20*1000*1500 2Ф-I-ТМКЩ-С Г7338</x:v>
      </x:c>
      <x:c r="D415" s="16" t="str">
        <x:v>Резино-технические изделия прочие</x:v>
      </x:c>
      <x:c r="E415" s="16" t="str">
        <x:v>КГ</x:v>
      </x:c>
      <x:c r="F415" s="29" t="n">
        <x:v>139.55</x:v>
      </x:c>
      <x:c r="G415" s="17" t="n">
        <x:v>83.4724</x:v>
      </x:c>
      <x:c r="H415" s="17" t="n">
        <x:f>G415*F415</x:f>
        <x:v>11648.57342</x:v>
      </x:c>
      <x:c r="I415" s="22" t="str">
        <x:f>HYPERLINK("https://etp-aktiv.ru/catalog/materialy/rezino-tekhnicheskie-izdeliya/2000547062-U111/","Открыть позицию")</x:f>
        <x:v>Открыть позицию</x:v>
      </x:c>
    </x:row>
    <x:row r="416" ht="28" customHeight="1">
      <x:c r="A416" s="16" t="str">
        <x:v>Томь-Усинская ГРЭС</x:v>
      </x:c>
      <x:c r="B416" s="16" t="str">
        <x:v>2000547007-U111</x:v>
      </x:c>
      <x:c r="C416" s="16" t="str">
        <x:v>ТЕХПЛАСТ 4*1200 ВЭП ТУ2534-002-61734928</x:v>
      </x:c>
      <x:c r="D416" s="16" t="str">
        <x:v>Резино-технические изделия прочие</x:v>
      </x:c>
      <x:c r="E416" s="16" t="str">
        <x:v>М2</x:v>
      </x:c>
      <x:c r="F416" s="29" t="n">
        <x:v>1.037</x:v>
      </x:c>
      <x:c r="G416" s="17" t="n">
        <x:v>1967.25</x:v>
      </x:c>
      <x:c r="H416" s="17" t="n">
        <x:f>G416*F416</x:f>
        <x:v>2040.0382499999998</x:v>
      </x:c>
      <x:c r="I416" s="22" t="str">
        <x:f>HYPERLINK("https://etp-aktiv.ru/catalog/materialy/rezino-tekhnicheskie-izdeliya/2000547007-U111/","Открыть позицию")</x:f>
        <x:v>Открыть позицию</x:v>
      </x:c>
    </x:row>
    <x:row r="417" ht="28" customHeight="1">
      <x:c r="A417" s="16" t="str">
        <x:v>Томь-Усинская ГРЭС</x:v>
      </x:c>
      <x:c r="B417" s="16" t="str">
        <x:v>2000622882-U111</x:v>
      </x:c>
      <x:c r="C417" s="16" t="str">
        <x:v>ТЕХПЛАСТИНА 12*600*600 I-7889 38.105.116</x:v>
      </x:c>
      <x:c r="D417" s="16" t="str">
        <x:v>Резино-технические изделия прочие</x:v>
      </x:c>
      <x:c r="E417" s="16" t="str">
        <x:v>КГ</x:v>
      </x:c>
      <x:c r="F417" s="29" t="n">
        <x:v>30.5</x:v>
      </x:c>
      <x:c r="G417" s="17" t="n">
        <x:v>471.5788</x:v>
      </x:c>
      <x:c r="H417" s="17" t="n">
        <x:f>G417*F417</x:f>
        <x:v>14383.1534</x:v>
      </x:c>
      <x:c r="I417" s="22" t="str">
        <x:f>HYPERLINK("https://etp-aktiv.ru/catalog/materialy/rezino-tekhnicheskie-izdeliya/2000622882-U111/","Открыть позицию")</x:f>
        <x:v>Открыть позицию</x:v>
      </x:c>
    </x:row>
    <x:row r="418" ht="28" customHeight="1">
      <x:c r="A418" s="16" t="str">
        <x:v>Томь-Усинская ГРЭС</x:v>
      </x:c>
      <x:c r="B418" s="16" t="str">
        <x:v>2000546998-U111</x:v>
      </x:c>
      <x:c r="C418" s="16" t="str">
        <x:v>ТЕХПЛАСТИНА 20*720*720 2Ф-I-ТМКЩ-С Г7338</x:v>
      </x:c>
      <x:c r="D418" s="16" t="str">
        <x:v>Резино-технические изделия прочие</x:v>
      </x:c>
      <x:c r="E418" s="16" t="str">
        <x:v>КГ</x:v>
      </x:c>
      <x:c r="F418" s="29" t="n">
        <x:v>4.8</x:v>
      </x:c>
      <x:c r="G418" s="17" t="n">
        <x:v>85.583</x:v>
      </x:c>
      <x:c r="H418" s="17" t="n">
        <x:f>G418*F418</x:f>
        <x:v>410.79839999999996</x:v>
      </x:c>
      <x:c r="I418" s="22" t="str">
        <x:f>HYPERLINK("https://etp-aktiv.ru/catalog/materialy/rezino-tekhnicheskie-izdeliya/2000546998-U111/","Открыть позицию")</x:f>
        <x:v>Открыть позицию</x:v>
      </x:c>
    </x:row>
    <x:row r="419" ht="28" customHeight="1">
      <x:c r="A419" s="16" t="str">
        <x:v>Томь-Усинская ГРЭС</x:v>
      </x:c>
      <x:c r="B419" s="16" t="str">
        <x:v>2000147837-U111</x:v>
      </x:c>
      <x:c r="C419" s="16" t="str">
        <x:v>ТЕХПЛАСТИНА 3*1000*1000 ТМКЩ-С ГОСТ7338</x:v>
      </x:c>
      <x:c r="D419" s="16" t="str">
        <x:v>Резино-технические изделия прочие</x:v>
      </x:c>
      <x:c r="E419" s="16" t="str">
        <x:v>КГ</x:v>
      </x:c>
      <x:c r="F419" s="21" t="n">
        <x:v>15</x:v>
      </x:c>
      <x:c r="G419" s="17" t="n">
        <x:v>52.167199999999994</x:v>
      </x:c>
      <x:c r="H419" s="17" t="n">
        <x:f>G419*F419</x:f>
        <x:v>782.5079999999999</x:v>
      </x:c>
      <x:c r="I419" s="22" t="str">
        <x:f>HYPERLINK("https://etp-aktiv.ru/catalog/materialy/rezino-tekhnicheskie-izdeliya/2000147837-U111/","Открыть позицию")</x:f>
        <x:v>Открыть позицию</x:v>
      </x:c>
    </x:row>
    <x:row r="420" ht="28" customHeight="1">
      <x:c r="A420" s="16" t="str">
        <x:v>Томь-Усинская ГРЭС</x:v>
      </x:c>
      <x:c r="B420" s="16" t="str">
        <x:v>2000219583-U111</x:v>
      </x:c>
      <x:c r="C420" s="16" t="str">
        <x:v>ТЕХПЛАСТИНА ТМКЩ-С 1*1000*1000 ГОСТ7338</x:v>
      </x:c>
      <x:c r="D420" s="16" t="str">
        <x:v>Резино-технические изделия прочие</x:v>
      </x:c>
      <x:c r="E420" s="16" t="str">
        <x:v>КГ</x:v>
      </x:c>
      <x:c r="F420" s="21" t="n">
        <x:v>329</x:v>
      </x:c>
      <x:c r="G420" s="17" t="n">
        <x:v>121.49980000000001</x:v>
      </x:c>
      <x:c r="H420" s="17" t="n">
        <x:f>G420*F420</x:f>
        <x:v>39973.4342</x:v>
      </x:c>
      <x:c r="I420" s="22" t="str">
        <x:f>HYPERLINK("https://etp-aktiv.ru/catalog/materialy/rezino-tekhnicheskie-izdeliya/2000219583-U111/","Открыть позицию")</x:f>
        <x:v>Открыть позицию</x:v>
      </x:c>
    </x:row>
    <x:row r="421" ht="28" customHeight="1">
      <x:c r="A421" s="16" t="str">
        <x:v>Томь-Усинская ГРЭС</x:v>
      </x:c>
      <x:c r="B421" s="16" t="str">
        <x:v>2000639823-U111</x:v>
      </x:c>
      <x:c r="C421" s="16" t="str">
        <x:v>ШНУР D12ММ14Р-2 ТУ2500-376-00152106-94</x:v>
      </x:c>
      <x:c r="D421" s="16" t="str">
        <x:v>Резино-технические изделия прочие</x:v>
      </x:c>
      <x:c r="E421" s="16" t="str">
        <x:v>КГ</x:v>
      </x:c>
      <x:c r="F421" s="21" t="n">
        <x:v>5</x:v>
      </x:c>
      <x:c r="G421" s="17" t="n">
        <x:v>1630.1884</x:v>
      </x:c>
      <x:c r="H421" s="17" t="n">
        <x:f>G421*F421</x:f>
        <x:v>8150.942</x:v>
      </x:c>
      <x:c r="I421" s="22" t="str">
        <x:f>HYPERLINK("https://etp-aktiv.ru/catalog/materialy/rezino-tekhnicheskie-izdeliya/2000639823-U111/","Открыть позицию")</x:f>
        <x:v>Открыть позицию</x:v>
      </x:c>
    </x:row>
    <x:row r="422" ht="28" customHeight="1">
      <x:c r="A422" s="16" t="str">
        <x:v>Томь-Усинская ГРЭС</x:v>
      </x:c>
      <x:c r="B422" s="16" t="str">
        <x:v>2000046181-U111</x:v>
      </x:c>
      <x:c r="C422" s="16" t="str">
        <x:v>ШНУР АСБЕСТ ШАОН 12ММ</x:v>
      </x:c>
      <x:c r="D422" s="16" t="str">
        <x:v>Асбо-технические изделия</x:v>
      </x:c>
      <x:c r="E422" s="16" t="str">
        <x:v>КГ</x:v>
      </x:c>
      <x:c r="F422" s="29" t="n">
        <x:v>50.9</x:v>
      </x:c>
      <x:c r="G422" s="17" t="n">
        <x:v>190.0028</x:v>
      </x:c>
      <x:c r="H422" s="17" t="n">
        <x:f>G422*F422</x:f>
        <x:v>9671.14252</x:v>
      </x:c>
      <x:c r="I422" s="22" t="str">
        <x:f>HYPERLINK("https://etp-aktiv.ru/catalog/materialy/asbo-tekhnicheskie-izdeliya/2000046181-U111/","Открыть позицию")</x:f>
        <x:v>Открыть позицию</x:v>
      </x:c>
    </x:row>
    <x:row r="423" ht="28" customHeight="1">
      <x:c r="A423" s="16" t="str">
        <x:v>Томь-Усинская ГРЭС</x:v>
      </x:c>
      <x:c r="B423" s="16" t="str">
        <x:v>2000046196-U111</x:v>
      </x:c>
      <x:c r="C423" s="16" t="str">
        <x:v>ШНУР АСБЕСТ ШАОН 15ММ</x:v>
      </x:c>
      <x:c r="D423" s="16" t="str">
        <x:v>Асбо-технические изделия</x:v>
      </x:c>
      <x:c r="E423" s="16" t="str">
        <x:v>КГ</x:v>
      </x:c>
      <x:c r="F423" s="29" t="n">
        <x:v>39.4</x:v>
      </x:c>
      <x:c r="G423" s="17" t="n">
        <x:v>137.50619999999998</x:v>
      </x:c>
      <x:c r="H423" s="17" t="n">
        <x:f>G423*F423</x:f>
        <x:v>5417.744279999999</x:v>
      </x:c>
      <x:c r="I423" s="22" t="str">
        <x:f>HYPERLINK("https://etp-aktiv.ru/catalog/materialy/asbo-tekhnicheskie-izdeliya/2000046196-U111/","Открыть позицию")</x:f>
        <x:v>Открыть позицию</x:v>
      </x:c>
    </x:row>
    <x:row r="424" ht="28" customHeight="1">
      <x:c r="A424" s="16" t="str">
        <x:v>Томь-Усинская ГРЭС</x:v>
      </x:c>
      <x:c r="B424" s="16" t="str">
        <x:v>2000546771-U111</x:v>
      </x:c>
      <x:c r="C424" s="16" t="str">
        <x:v>ШНУР РЕЗ 1,4C 4 ГОСТ6467-79</x:v>
      </x:c>
      <x:c r="D424" s="16" t="str">
        <x:v>Резино-технические изделия прочие</x:v>
      </x:c>
      <x:c r="E424" s="16" t="str">
        <x:v>КГ</x:v>
      </x:c>
      <x:c r="F424" s="29" t="n">
        <x:v>29.21</x:v>
      </x:c>
      <x:c r="G424" s="17" t="n">
        <x:v>187.1968</x:v>
      </x:c>
      <x:c r="H424" s="17" t="n">
        <x:f>G424*F424</x:f>
        <x:v>5468.018528</x:v>
      </x:c>
      <x:c r="I424" s="22" t="str">
        <x:f>HYPERLINK("https://etp-aktiv.ru/catalog/materialy/rezino-tekhnicheskie-izdeliya/2000546771-U111/","Открыть позицию")</x:f>
        <x:v>Открыть позицию</x:v>
      </x:c>
    </x:row>
    <x:row r="425" ht="28" customHeight="1">
      <x:c r="A425" s="16" t="str">
        <x:v>Томь-Усинская ГРЭС</x:v>
      </x:c>
      <x:c r="B425" s="16" t="str">
        <x:v>2000546772-U111</x:v>
      </x:c>
      <x:c r="C425" s="16" t="str">
        <x:v>ШНУР РЕЗ 1,4C 5 ГОСТ6467-79</x:v>
      </x:c>
      <x:c r="D425" s="16" t="str">
        <x:v>Резино-технические изделия прочие</x:v>
      </x:c>
      <x:c r="E425" s="16" t="str">
        <x:v>КГ</x:v>
      </x:c>
      <x:c r="F425" s="30" t="n">
        <x:v>0.2</x:v>
      </x:c>
      <x:c r="G425" s="17" t="n">
        <x:v>212.9632</x:v>
      </x:c>
      <x:c r="H425" s="17" t="n">
        <x:f>G425*F425</x:f>
        <x:v>42.59264</x:v>
      </x:c>
      <x:c r="I425" s="22" t="str">
        <x:f>HYPERLINK("https://etp-aktiv.ru/catalog/materialy/rezino-tekhnicheskie-izdeliya/2000546772-U111/","Открыть позицию")</x:f>
        <x:v>Открыть позицию</x:v>
      </x:c>
    </x:row>
    <x:row r="426" ht="28" customHeight="1">
      <x:c r="A426" s="16" t="str">
        <x:v>Томь-Усинская ГРЭС</x:v>
      </x:c>
      <x:c r="B426" s="16" t="str">
        <x:v>2000546773-U111</x:v>
      </x:c>
      <x:c r="C426" s="16" t="str">
        <x:v>ШНУР РЕЗ 1,4C 6 ГОСТ6467-79</x:v>
      </x:c>
      <x:c r="D426" s="16" t="str">
        <x:v>Резино-технические изделия прочие</x:v>
      </x:c>
      <x:c r="E426" s="16" t="str">
        <x:v>КГ</x:v>
      </x:c>
      <x:c r="F426" s="29" t="n">
        <x:v>1.2</x:v>
      </x:c>
      <x:c r="G426" s="17" t="n">
        <x:v>193.95559999999998</x:v>
      </x:c>
      <x:c r="H426" s="17" t="n">
        <x:f>G426*F426</x:f>
        <x:v>232.74671999999995</x:v>
      </x:c>
      <x:c r="I426" s="22" t="str">
        <x:f>HYPERLINK("https://etp-aktiv.ru/catalog/materialy/rezino-tekhnicheskie-izdeliya/2000546773-U111/","Открыть позицию")</x:f>
        <x:v>Открыть позицию</x:v>
      </x:c>
    </x:row>
    <x:row r="427" ht="28" customHeight="1">
      <x:c r="A427" s="16" t="str">
        <x:v>Томь-Усинская ГРЭС</x:v>
      </x:c>
      <x:c r="B427" s="16" t="str">
        <x:v>2000591040-U111</x:v>
      </x:c>
      <x:c r="C427" s="16" t="str">
        <x:v>ШНУР РЕЗ. D7ММ ИРП-1338</x:v>
      </x:c>
      <x:c r="D427" s="16" t="str">
        <x:v>Резино-технические изделия прочие</x:v>
      </x:c>
      <x:c r="E427" s="16" t="str">
        <x:v>КГ</x:v>
      </x:c>
      <x:c r="F427" s="29" t="n">
        <x:v>5.1</x:v>
      </x:c>
      <x:c r="G427" s="17" t="n">
        <x:v>1382.87</x:v>
      </x:c>
      <x:c r="H427" s="17" t="n">
        <x:f>G427*F427</x:f>
        <x:v>7052.636999999999</x:v>
      </x:c>
      <x:c r="I427" s="22" t="str">
        <x:f>HYPERLINK("https://etp-aktiv.ru/catalog/materialy/rezino-tekhnicheskie-izdeliya/2000591040-U111/","Открыть позицию")</x:f>
        <x:v>Открыть позицию</x:v>
      </x:c>
    </x:row>
    <x:row r="428" ht="28" customHeight="1">
      <x:c r="A428" s="16" t="str">
        <x:v>Томь-Усинская ГРЭС</x:v>
      </x:c>
      <x:c r="B428" s="16" t="str">
        <x:v>2000639189-U111</x:v>
      </x:c>
      <x:c r="C428" s="16" t="str">
        <x:v>ШНУР ШПРИЦ D13ММ 5Р-129 ТУ38-1051165-90</x:v>
      </x:c>
      <x:c r="D428" s="16" t="str">
        <x:v>Резино-технические изделия прочие</x:v>
      </x:c>
      <x:c r="E428" s="16" t="str">
        <x:v>КГ</x:v>
      </x:c>
      <x:c r="F428" s="21" t="n">
        <x:v>16</x:v>
      </x:c>
      <x:c r="G428" s="17" t="n">
        <x:v>2140.8071999999997</x:v>
      </x:c>
      <x:c r="H428" s="17" t="n">
        <x:f>G428*F428</x:f>
        <x:v>34252.915199999996</x:v>
      </x:c>
      <x:c r="I428" s="22" t="str">
        <x:f>HYPERLINK("https://etp-aktiv.ru/catalog/materialy/rezino-tekhnicheskie-izdeliya/2000639189-U111/","Открыть позицию")</x:f>
        <x:v>Открыть позицию</x:v>
      </x:c>
    </x:row>
    <x:row r="429" ht="28" customHeight="1">
      <x:c r="A429" s="16" t="str">
        <x:v>Томь-Усинская ГРЭС</x:v>
      </x:c>
      <x:c r="B429" s="16" t="str">
        <x:v>2000639188-U111</x:v>
      </x:c>
      <x:c r="C429" s="16" t="str">
        <x:v>ШНУРЫ 5ММ ИРП-1338 НТА ТУ38103321-76</x:v>
      </x:c>
      <x:c r="D429" s="16" t="str">
        <x:v>Резино-технические изделия прочие</x:v>
      </x:c>
      <x:c r="E429" s="16" t="str">
        <x:v>КГ</x:v>
      </x:c>
      <x:c r="F429" s="29" t="n">
        <x:v>50.3</x:v>
      </x:c>
      <x:c r="G429" s="17" t="n">
        <x:v>1115.2752</x:v>
      </x:c>
      <x:c r="H429" s="17" t="n">
        <x:f>G429*F429</x:f>
        <x:v>56098.34256</x:v>
      </x:c>
      <x:c r="I429" s="22" t="str">
        <x:f>HYPERLINK("https://etp-aktiv.ru/catalog/materialy/rezino-tekhnicheskie-izdeliya/2000639188-U111/","Открыть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d9b31f45a7c94752"/>
  </x:tableParts>
</x:worksheet>
</file>

<file path=xl/worksheets/sheet1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Химические материалы, ЛКМ и лаборатория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2000173682-U112</x:v>
      </x:c>
      <x:c r="C5" s="16" t="str">
        <x:v>ЕРШ ПРОБИРОЧНЫЙ D20ММ ГОСТ28638-90</x:v>
      </x:c>
      <x:c r="D5" s="16" t="str">
        <x:v>Химическая посуда</x:v>
      </x:c>
      <x:c r="E5" s="16" t="str">
        <x:v>ШТ</x:v>
      </x:c>
      <x:c r="F5" s="21" t="n">
        <x:v>7</x:v>
      </x:c>
      <x:c r="G5" s="17" t="n">
        <x:v>54.9</x:v>
      </x:c>
      <x:c r="H5" s="17" t="n">
        <x:f>G5*F5</x:f>
        <x:v>384.3</x:v>
      </x:c>
      <x:c r="I5" s="22" t="str">
        <x:f>HYPERLINK("https://etp-aktiv.ru/catalog/materialy/mebel-i-bytovaya-tekhnika/2000173682-U112/","Открыть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2000125738-U112</x:v>
      </x:c>
      <x:c r="C6" s="16" t="str">
        <x:v>КОЛЕР ЛАКРА N11 ЖЕЛТО-КОРИЧНЕВАЯ 0,1Л</x:v>
      </x:c>
      <x:c r="D6" s="16" t="str">
        <x:v>Лакокрасочные материалы</x:v>
      </x:c>
      <x:c r="E6" s="16" t="str">
        <x:v>ШТ</x:v>
      </x:c>
      <x:c r="F6" s="21" t="n">
        <x:v>2</x:v>
      </x:c>
      <x:c r="G6" s="17" t="n">
        <x:v>36.6</x:v>
      </x:c>
      <x:c r="H6" s="17" t="n">
        <x:f>G6*F6</x:f>
        <x:v>73.2</x:v>
      </x:c>
      <x:c r="I6" s="22" t="str">
        <x:f>HYPERLINK("https://etp-aktiv.ru/catalog/materialy/lakokrasochnye-materialy/2000125738-U112/","Открыть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2000579575-U112</x:v>
      </x:c>
      <x:c r="C7" s="16" t="str">
        <x:v>ЛАК ЛЭУ-227 ОБС.504.039ТУ</x:v>
      </x:c>
      <x:c r="D7" s="16" t="str">
        <x:v>Химические материалы прочие</x:v>
      </x:c>
      <x:c r="E7" s="16" t="str">
        <x:v>КГ</x:v>
      </x:c>
      <x:c r="F7" s="29" t="n">
        <x:v>22.81</x:v>
      </x:c>
      <x:c r="G7" s="17" t="n">
        <x:v>3799.5436</x:v>
      </x:c>
      <x:c r="H7" s="17" t="n">
        <x:f>G7*F7</x:f>
        <x:v>86667.589516</x:v>
      </x:c>
      <x:c r="I7" s="22" t="str">
        <x:f>HYPERLINK("https://etp-aktiv.ru/catalog/materialy/himicheskaya-produkciya/2000579575-U112/","Открыть позицию")</x:f>
        <x:v>Открыть позицию</x:v>
      </x:c>
    </x:row>
    <x:row r="8" ht="28" customHeight="1">
      <x:c r="A8" s="16" t="str">
        <x:v>Беловская ГРЭС</x:v>
      </x:c>
      <x:c r="B8" s="16" t="str">
        <x:v>2000030367-U112</x:v>
      </x:c>
      <x:c r="C8" s="16" t="str">
        <x:v>МАСЛО SHELL RIMULA ULTRA 10W40</x:v>
      </x:c>
      <x:c r="D8" s="16" t="str">
        <x:v>Масла и смазки различного назначения и типа</x:v>
      </x:c>
      <x:c r="E8" s="16" t="str">
        <x:v>Т</x:v>
      </x:c>
      <x:c r="F8" s="30" t="n">
        <x:v>0.108</x:v>
      </x:c>
      <x:c r="G8" s="17" t="n">
        <x:v>292800</x:v>
      </x:c>
      <x:c r="H8" s="17" t="n">
        <x:f>G8*F8</x:f>
        <x:v>31622.4</x:v>
      </x:c>
      <x:c r="I8" s="22" t="str">
        <x:f>HYPERLINK("https://etp-aktiv.ru/catalog/materialy/gsm/2000030367-U112/","Открыть позицию")</x:f>
        <x:v>Открыть позицию</x:v>
      </x:c>
    </x:row>
    <x:row r="9" ht="28" customHeight="1">
      <x:c r="A9" s="16" t="str">
        <x:v>Беловская ГРЭС</x:v>
      </x:c>
      <x:c r="B9" s="16" t="str">
        <x:v>2000156906-U112</x:v>
      </x:c>
      <x:c r="C9" s="16" t="str">
        <x:v>ОЛИФА ПРОФИ 1,5Л ГОСТ51692-2000</x:v>
      </x:c>
      <x:c r="D9" s="16" t="str">
        <x:v>Лакокрасочные материалы</x:v>
      </x:c>
      <x:c r="E9" s="16" t="str">
        <x:v>ШТ</x:v>
      </x:c>
      <x:c r="F9" s="21" t="n">
        <x:v>6</x:v>
      </x:c>
      <x:c r="G9" s="17" t="n">
        <x:v>138.62859999999998</x:v>
      </x:c>
      <x:c r="H9" s="17" t="n">
        <x:f>G9*F9</x:f>
        <x:v>831.7715999999998</x:v>
      </x:c>
      <x:c r="I9" s="22" t="str">
        <x:f>HYPERLINK("https://etp-aktiv.ru/catalog/materialy/lakokrasochnye-materialy/2000156906-U112/","Открыть позицию")</x:f>
        <x:v>Открыть позицию</x:v>
      </x:c>
    </x:row>
    <x:row r="10" ht="28" customHeight="1">
      <x:c r="A10" s="16" t="str">
        <x:v>Беловская ГРЭС</x:v>
      </x:c>
      <x:c r="B10" s="16" t="str">
        <x:v>2000675470-U112</x:v>
      </x:c>
      <x:c r="C10" s="16" t="str">
        <x:v>ПАСТА KUPFER-PASTE 7579 0.1КГ</x:v>
      </x:c>
      <x:c r="D10" s="16" t="str">
        <x:v>Другие смазочные материалы и тех.жидкости</x:v>
      </x:c>
      <x:c r="E10" s="16" t="str">
        <x:v>ШТ</x:v>
      </x:c>
      <x:c r="F10" s="21" t="n">
        <x:v>4</x:v>
      </x:c>
      <x:c r="G10" s="17" t="n">
        <x:v>661.0935999999999</x:v>
      </x:c>
      <x:c r="H10" s="17" t="n">
        <x:f>G10*F10</x:f>
        <x:v>2644.3743999999997</x:v>
      </x:c>
      <x:c r="I10" s="22" t="str">
        <x:f>HYPERLINK("https://etp-aktiv.ru/catalog/materialy/gsm/2000675470-U112/","Открыть позицию")</x:f>
        <x:v>Открыть позицию</x:v>
      </x:c>
    </x:row>
    <x:row r="11" ht="28" customHeight="1">
      <x:c r="A11" s="16" t="str">
        <x:v>Беловская ГРЭС</x:v>
      </x:c>
      <x:c r="B11" s="16" t="str">
        <x:v>2000083065-U112</x:v>
      </x:c>
      <x:c r="C11" s="16" t="str">
        <x:v>РАСТВОРИТЕЛЬ НЕФТЯНОЙ ГОСТ7827-74</x:v>
      </x:c>
      <x:c r="D11" s="16" t="str">
        <x:v>Лакокрасочные материалы</x:v>
      </x:c>
      <x:c r="E11" s="16" t="str">
        <x:v>КГ</x:v>
      </x:c>
      <x:c r="F11" s="21" t="n">
        <x:v>4</x:v>
      </x:c>
      <x:c r="G11" s="17" t="n">
        <x:v>301.95</x:v>
      </x:c>
      <x:c r="H11" s="17" t="n">
        <x:f>G11*F11</x:f>
        <x:v>1207.8</x:v>
      </x:c>
      <x:c r="I11" s="22" t="str">
        <x:f>HYPERLINK("https://etp-aktiv.ru/catalog/materialy/lakokrasochnye-materialy/2000083065-U112/","Открыть позицию")</x:f>
        <x:v>Открыть позицию</x:v>
      </x:c>
    </x:row>
    <x:row r="12" ht="28" customHeight="1">
      <x:c r="A12" s="16" t="str">
        <x:v>Беловская ГРЭС</x:v>
      </x:c>
      <x:c r="B12" s="16" t="str">
        <x:v>2000964780-U112</x:v>
      </x:c>
      <x:c r="C12" s="16" t="str">
        <x:v>СМАЗКА OILWAY GREASE 400МЛ</x:v>
      </x:c>
      <x:c r="D12" s="16" t="str">
        <x:v>Другие смазочные материалы и тех.жидкости</x:v>
      </x:c>
      <x:c r="E12" s="16" t="str">
        <x:v>ШТ</x:v>
      </x:c>
      <x:c r="F12" s="21" t="n">
        <x:v>80</x:v>
      </x:c>
      <x:c r="G12" s="17" t="n">
        <x:v>248.4286</x:v>
      </x:c>
      <x:c r="H12" s="17" t="n">
        <x:f>G12*F12</x:f>
        <x:v>19874.288</x:v>
      </x:c>
      <x:c r="I12" s="22" t="str">
        <x:f>HYPERLINK("https://etp-aktiv.ru/catalog/materialy/gsm/2000964780-U112/","Открыть позицию")</x:f>
        <x:v>Открыть позицию</x:v>
      </x:c>
    </x:row>
    <x:row r="13" ht="28" customHeight="1">
      <x:c r="A13" s="16" t="str">
        <x:v>Беловская ГРЭС</x:v>
      </x:c>
      <x:c r="B13" s="16" t="str">
        <x:v>2000564389-U112</x:v>
      </x:c>
      <x:c r="C13" s="16" t="str">
        <x:v>СМАЗКА PETRO-CANADA PRECISION XLEP2 400Г</x:v>
      </x:c>
      <x:c r="D13" s="16" t="str">
        <x:v>Другие смазочные материалы и тех.жидкости</x:v>
      </x:c>
      <x:c r="E13" s="16" t="str">
        <x:v>ШТ</x:v>
      </x:c>
      <x:c r="F13" s="21" t="n">
        <x:v>100</x:v>
      </x:c>
      <x:c r="G13" s="17" t="n">
        <x:v>413.275</x:v>
      </x:c>
      <x:c r="H13" s="17" t="n">
        <x:f>G13*F13</x:f>
        <x:v>41327.5</x:v>
      </x:c>
      <x:c r="I13" s="22" t="str">
        <x:f>HYPERLINK("https://etp-aktiv.ru/catalog/materialy/gsm/2000564389-U112/","Открыть позицию")</x:f>
        <x:v>Открыть позицию</x:v>
      </x:c>
    </x:row>
    <x:row r="14" ht="28" customHeight="1">
      <x:c r="A14" s="16" t="str">
        <x:v>Беловская ГРЭС</x:v>
      </x:c>
      <x:c r="B14" s="16" t="str">
        <x:v>2000211074-U112</x:v>
      </x:c>
      <x:c r="C14" s="16" t="str">
        <x:v>СМАЗКА ВНИИНП-231 1КГ</x:v>
      </x:c>
      <x:c r="D14" s="16" t="str">
        <x:v>Другие смазочные материалы и тех.жидкости</x:v>
      </x:c>
      <x:c r="E14" s="16" t="str">
        <x:v>ШТ</x:v>
      </x:c>
      <x:c r="F14" s="29" t="n">
        <x:v>29.629</x:v>
      </x:c>
      <x:c r="G14" s="17" t="n">
        <x:v>1329.739</x:v>
      </x:c>
      <x:c r="H14" s="17" t="n">
        <x:f>G14*F14</x:f>
        <x:v>39398.836831</x:v>
      </x:c>
      <x:c r="I14" s="22" t="str">
        <x:f>HYPERLINK("https://etp-aktiv.ru/catalog/materialy/gsm/2000211074-U112/","Открыть позицию")</x:f>
        <x:v>Открыть позицию</x:v>
      </x:c>
    </x:row>
    <x:row r="15" ht="28" customHeight="1">
      <x:c r="A15" s="16" t="str">
        <x:v>Беловская ГРЭС</x:v>
      </x:c>
      <x:c r="B15" s="16" t="str">
        <x:v>2000219779-U112</x:v>
      </x:c>
      <x:c r="C15" s="16" t="str">
        <x:v>СМАЗКА СОЛИДОЛ Ж</x:v>
      </x:c>
      <x:c r="D15" s="16" t="str">
        <x:v>Масла и смазки различного назначения и типа</x:v>
      </x:c>
      <x:c r="E15" s="16" t="str">
        <x:v>КГ</x:v>
      </x:c>
      <x:c r="F15" s="29" t="n">
        <x:v>159.164</x:v>
      </x:c>
      <x:c r="G15" s="17" t="n">
        <x:v>70.394</x:v>
      </x:c>
      <x:c r="H15" s="17" t="n">
        <x:f>G15*F15</x:f>
        <x:v>11204.190616</x:v>
      </x:c>
      <x:c r="I15" s="22" t="str">
        <x:f>HYPERLINK("https://etp-aktiv.ru/catalog/materialy/gsm/2000219779-U112/","Открыть позицию")</x:f>
        <x:v>Открыть позицию</x:v>
      </x:c>
    </x:row>
    <x:row r="16" ht="28" customHeight="1">
      <x:c r="A16" s="16" t="str">
        <x:v>Беловская ГРЭС</x:v>
      </x:c>
      <x:c r="B16" s="16" t="str">
        <x:v>2000690832-U112</x:v>
      </x:c>
      <x:c r="C16" s="16" t="str">
        <x:v>СМАЗКА ТЕРМОСТОЙКАЯ ПОЛИТЕРМ 800Г</x:v>
      </x:c>
      <x:c r="D16" s="16" t="str">
        <x:v>Другие смазочные материалы и тех.жидкости</x:v>
      </x:c>
      <x:c r="E16" s="16" t="str">
        <x:v>ШТ</x:v>
      </x:c>
      <x:c r="F16" s="21" t="n">
        <x:v>5</x:v>
      </x:c>
      <x:c r="G16" s="17" t="n">
        <x:v>2055.7</x:v>
      </x:c>
      <x:c r="H16" s="17" t="n">
        <x:f>G16*F16</x:f>
        <x:v>10278.5</x:v>
      </x:c>
      <x:c r="I16" s="22" t="str">
        <x:f>HYPERLINK("https://etp-aktiv.ru/catalog/materialy/gsm/2000690832-U112/","Открыть позицию")</x:f>
        <x:v>Открыть позицию</x:v>
      </x:c>
    </x:row>
    <x:row r="17" ht="28" customHeight="1">
      <x:c r="A17" s="16" t="str">
        <x:v>Беловская ГРЭС</x:v>
      </x:c>
      <x:c r="B17" s="16" t="str">
        <x:v>2000201484-U112</x:v>
      </x:c>
      <x:c r="C17" s="16" t="str">
        <x:v>СМАЗКА ЦИАТИМ-201</x:v>
      </x:c>
      <x:c r="D17" s="16" t="str">
        <x:v>Масла и смазки различного назначения и типа</x:v>
      </x:c>
      <x:c r="E17" s="16" t="str">
        <x:v>КГ</x:v>
      </x:c>
      <x:c r="F17" s="29" t="n">
        <x:v>21.46</x:v>
      </x:c>
      <x:c r="G17" s="17" t="n">
        <x:v>308.599</x:v>
      </x:c>
      <x:c r="H17" s="17" t="n">
        <x:f>G17*F17</x:f>
        <x:v>6622.53454</x:v>
      </x:c>
      <x:c r="I17" s="22" t="str">
        <x:f>HYPERLINK("https://etp-aktiv.ru/catalog/materialy/gsm/2000201484-U112/","Открыть позицию")</x:f>
        <x:v>Открыть позицию</x:v>
      </x:c>
    </x:row>
    <x:row r="18" ht="28" customHeight="1">
      <x:c r="A18" s="16" t="str">
        <x:v>Беловская ГРЭС</x:v>
      </x:c>
      <x:c r="B18" s="16" t="str">
        <x:v>2000211861-U112</x:v>
      </x:c>
      <x:c r="C18" s="16" t="str">
        <x:v>СМАЗКА ЦИАТИМ-203</x:v>
      </x:c>
      <x:c r="D18" s="16" t="str">
        <x:v>Масла и смазки различного назначения и типа</x:v>
      </x:c>
      <x:c r="E18" s="16" t="str">
        <x:v>КГ</x:v>
      </x:c>
      <x:c r="F18" s="29" t="n">
        <x:v>1.6</x:v>
      </x:c>
      <x:c r="G18" s="17" t="n">
        <x:v>200.1532</x:v>
      </x:c>
      <x:c r="H18" s="17" t="n">
        <x:f>G18*F18</x:f>
        <x:v>320.24512000000004</x:v>
      </x:c>
      <x:c r="I18" s="22" t="str">
        <x:f>HYPERLINK("https://etp-aktiv.ru/catalog/materialy/gsm/2000211861-U112/","Открыть позицию")</x:f>
        <x:v>Открыть позицию</x:v>
      </x:c>
    </x:row>
    <x:row r="19" ht="28" customHeight="1">
      <x:c r="A19" s="16" t="str">
        <x:v>Беловская ГРЭС</x:v>
      </x:c>
      <x:c r="B19" s="16" t="str">
        <x:v>2000791651-U112</x:v>
      </x:c>
      <x:c r="C19" s="16" t="str">
        <x:v>ТРИНАТРИЙФОСФАТ ГОСТ201-76</x:v>
      </x:c>
      <x:c r="D19" s="16" t="str">
        <x:v>Химические материалы прочие</x:v>
      </x:c>
      <x:c r="E19" s="16" t="str">
        <x:v>КГ</x:v>
      </x:c>
      <x:c r="F19" s="21" t="n">
        <x:v>219</x:v>
      </x:c>
      <x:c r="G19" s="17" t="n">
        <x:v>70.0036</x:v>
      </x:c>
      <x:c r="H19" s="17" t="n">
        <x:f>G19*F19</x:f>
        <x:v>15330.788400000001</x:v>
      </x:c>
      <x:c r="I19" s="22" t="str">
        <x:f>HYPERLINK("https://etp-aktiv.ru/catalog/materialy/himicheskaya-produkciya/2000791651-U112/","Открыть позицию")</x:f>
        <x:v>Открыть позицию</x:v>
      </x:c>
    </x:row>
    <x:row r="20" ht="28" customHeight="1">
      <x:c r="A20" s="16" t="str">
        <x:v>Беловская ГРЭС</x:v>
      </x:c>
      <x:c r="B20" s="16" t="str">
        <x:v>2000378215-U112</x:v>
      </x:c>
      <x:c r="C20" s="16" t="str">
        <x:v>ФИЛЬТР АФА-ВП-10 200ШТ ТУ95-1892-89</x:v>
      </x:c>
      <x:c r="D20" s="16" t="str">
        <x:v>Химические реактивы</x:v>
      </x:c>
      <x:c r="E20" s="16" t="str">
        <x:v>УПК</x:v>
      </x:c>
      <x:c r="F20" s="21" t="n">
        <x:v>1</x:v>
      </x:c>
      <x:c r="G20" s="17" t="n">
        <x:v>577.4626</x:v>
      </x:c>
      <x:c r="H20" s="17" t="n">
        <x:f>G20*F20</x:f>
        <x:v>577.4626</x:v>
      </x:c>
      <x:c r="I20" s="22" t="str">
        <x:f>HYPERLINK("https://etp-aktiv.ru/catalog/materialy/himicheskaya-produkciya/2000378215-U112/","Открыть позицию")</x:f>
        <x:v>Открыть позицию</x:v>
      </x:c>
    </x:row>
    <x:row r="21" ht="28" customHeight="1">
      <x:c r="A21" s="16" t="str">
        <x:v>Беловская ГРЭС</x:v>
      </x:c>
      <x:c r="B21" s="16" t="str">
        <x:v>2000547528-U112</x:v>
      </x:c>
      <x:c r="C21" s="16" t="str">
        <x:v>ЭМАЛЬ УНИВЕРСАЛНАЯ KU-1001 БЕЛЫЙ 520МЛ</x:v>
      </x:c>
      <x:c r="D21" s="16" t="str">
        <x:v>Лакокрасочные материалы</x:v>
      </x:c>
      <x:c r="E21" s="16" t="str">
        <x:v>ШТ</x:v>
      </x:c>
      <x:c r="F21" s="21" t="n">
        <x:v>5</x:v>
      </x:c>
      <x:c r="G21" s="17" t="n">
        <x:v>196.42</x:v>
      </x:c>
      <x:c r="H21" s="17" t="n">
        <x:f>G21*F21</x:f>
        <x:v>982.0999999999999</x:v>
      </x:c>
      <x:c r="I21" s="22" t="str">
        <x:f>HYPERLINK("https://etp-aktiv.ru/catalog/materialy/lakokrasochnye-materialy/2000547528-U112/","Открыть позицию")</x:f>
        <x:v>Открыть позицию</x:v>
      </x:c>
    </x:row>
    <x:row r="22" ht="28" customHeight="1">
      <x:c r="A22" s="16" t="str">
        <x:v>Беловская ГРЭС</x:v>
      </x:c>
      <x:c r="B22" s="16" t="str">
        <x:v>2000335559-U112</x:v>
      </x:c>
      <x:c r="C22" s="16" t="str">
        <x:v>ЭФИР ДИЭТИЛОВЫЙ ЧДА ГОСТ6265-52</x:v>
      </x:c>
      <x:c r="D22" s="16" t="str">
        <x:v>Химические реактивы</x:v>
      </x:c>
      <x:c r="E22" s="16" t="str">
        <x:v>КГ</x:v>
      </x:c>
      <x:c r="F22" s="29" t="n">
        <x:v>14.6</x:v>
      </x:c>
      <x:c r="G22" s="17" t="n">
        <x:v>696.0709999999999</x:v>
      </x:c>
      <x:c r="H22" s="17" t="n">
        <x:f>G22*F22</x:f>
        <x:v>10162.636599999998</x:v>
      </x:c>
      <x:c r="I22" s="22" t="str">
        <x:f>HYPERLINK("https://etp-aktiv.ru/catalog/materialy/himicheskaya-produkciya/2000335559-U112/","Открыть позицию")</x:f>
        <x:v>Открыть позицию</x:v>
      </x:c>
    </x:row>
    <x:row r="23" ht="28" customHeight="1">
      <x:c r="A23" s="16" t="str">
        <x:v>Кемеровская ГРЭС</x:v>
      </x:c>
      <x:c r="B23" s="16" t="str">
        <x:v>2000770764-U311</x:v>
      </x:c>
      <x:c r="C23" s="16" t="str">
        <x:v>КОЛЬЦО СМАЗОЧНОЕ 2275-BS-11</x:v>
      </x:c>
      <x:c r="D23" s="16" t="str">
        <x:v>Запасные части к вентиляционному оборудованию</x:v>
      </x:c>
      <x:c r="E23" s="16" t="str">
        <x:v>ШТ</x:v>
      </x:c>
      <x:c r="F23" s="21" t="n">
        <x:v>4</x:v>
      </x:c>
      <x:c r="G23" s="17" t="n">
        <x:v>20587.5</x:v>
      </x:c>
      <x:c r="H23" s="17" t="n">
        <x:f>G23*F23</x:f>
        <x:v>82350</x:v>
      </x:c>
      <x:c r="I23" s="22" t="str">
        <x:f>HYPERLINK("https://etp-aktiv.ru/catalog/materialy/zapasnye-chasti-promyshlennogo-oborudovaniya/2000770764-U311/","Открыть позицию")</x:f>
        <x:v>Открыть позицию</x:v>
      </x:c>
    </x:row>
    <x:row r="24" ht="28" customHeight="1">
      <x:c r="A24" s="16" t="str">
        <x:v>Кемеровская ТЭЦ</x:v>
      </x:c>
      <x:c r="B24" s="16" t="str">
        <x:v>2000020746-U312</x:v>
      </x:c>
      <x:c r="C24" s="16" t="str">
        <x:v>БУРА ТЕХНИЧЕСКАЯ ГОСТ8429-77</x:v>
      </x:c>
      <x:c r="D24" s="16" t="str">
        <x:v>Химические реактивы</x:v>
      </x:c>
      <x:c r="E24" s="16" t="str">
        <x:v>КГ</x:v>
      </x:c>
      <x:c r="F24" s="30" t="n">
        <x:v>0.07</x:v>
      </x:c>
      <x:c r="G24" s="17" t="n">
        <x:v>281.4296</x:v>
      </x:c>
      <x:c r="H24" s="17" t="n">
        <x:f>G24*F24</x:f>
        <x:v>19.700072000000002</x:v>
      </x:c>
      <x:c r="I24" s="22" t="str">
        <x:f>HYPERLINK("https://etp-aktiv.ru/catalog/materialy/himicheskaya-produkciya/2000020746-U312/","Открыть позицию")</x:f>
        <x:v>Открыть позицию</x:v>
      </x:c>
    </x:row>
    <x:row r="25" ht="28" customHeight="1">
      <x:c r="A25" s="16" t="str">
        <x:v>Кемеровская ТЭЦ</x:v>
      </x:c>
      <x:c r="B25" s="16" t="str">
        <x:v>2000547614-U312</x:v>
      </x:c>
      <x:c r="C25" s="16" t="str">
        <x:v>ГРАФИТ КРИСТАЛ СМАЗОЧН ГС-4 ГОСТ8295-73</x:v>
      </x:c>
      <x:c r="D25" s="16" t="str">
        <x:v>Химические материалы прочие</x:v>
      </x:c>
      <x:c r="E25" s="16" t="str">
        <x:v>КГ</x:v>
      </x:c>
      <x:c r="F25" s="29" t="n">
        <x:v>11.795</x:v>
      </x:c>
      <x:c r="G25" s="17" t="n">
        <x:v>404.4056</x:v>
      </x:c>
      <x:c r="H25" s="17" t="n">
        <x:f>G25*F25</x:f>
        <x:v>4769.964052</x:v>
      </x:c>
      <x:c r="I25" s="22" t="str">
        <x:f>HYPERLINK("https://etp-aktiv.ru/catalog/materialy/himicheskaya-produkciya/2000547614-U312/","Открыть позицию")</x:f>
        <x:v>Открыть позицию</x:v>
      </x:c>
    </x:row>
    <x:row r="26" ht="28" customHeight="1">
      <x:c r="A26" s="16" t="str">
        <x:v>Кемеровская ТЭЦ</x:v>
      </x:c>
      <x:c r="B26" s="16" t="str">
        <x:v>2000030302-U312</x:v>
      </x:c>
      <x:c r="C26" s="16" t="str">
        <x:v>МАСЛО ИНДУСТРИАЛЬНОЕ И-40А</x:v>
      </x:c>
      <x:c r="D26" s="16" t="str">
        <x:v>Масла и смазки различного назначения и типа</x:v>
      </x:c>
      <x:c r="E26" s="16" t="str">
        <x:v>Т</x:v>
      </x:c>
      <x:c r="F26" s="30" t="n">
        <x:v>0.005</x:v>
      </x:c>
      <x:c r="G26" s="17" t="n">
        <x:v>82660.7828</x:v>
      </x:c>
      <x:c r="H26" s="17" t="n">
        <x:f>G26*F26</x:f>
        <x:v>413.303914</x:v>
      </x:c>
      <x:c r="I26" s="22" t="str">
        <x:f>HYPERLINK("https://etp-aktiv.ru/catalog/materialy/gsm/2000030302-U312/","Открыть позицию")</x:f>
        <x:v>Открыть позицию</x:v>
      </x:c>
    </x:row>
    <x:row r="27" ht="28" customHeight="1">
      <x:c r="A27" s="16" t="str">
        <x:v>Кемеровская ТЭЦ</x:v>
      </x:c>
      <x:c r="B27" s="16" t="str">
        <x:v>2000592087-U312</x:v>
      </x:c>
      <x:c r="C27" s="16" t="str">
        <x:v>МАСЛО НИГРОЛ</x:v>
      </x:c>
      <x:c r="D27" s="16" t="str">
        <x:v>Масла и смазки различного назначения и типа</x:v>
      </x:c>
      <x:c r="E27" s="16" t="str">
        <x:v>КГ</x:v>
      </x:c>
      <x:c r="F27" s="21" t="n">
        <x:v>7</x:v>
      </x:c>
      <x:c r="G27" s="17" t="n">
        <x:v>115.8024</x:v>
      </x:c>
      <x:c r="H27" s="17" t="n">
        <x:f>G27*F27</x:f>
        <x:v>810.6168</x:v>
      </x:c>
      <x:c r="I27" s="22" t="str">
        <x:f>HYPERLINK("https://etp-aktiv.ru/catalog/materialy/gsm/2000592087-U312/","Открыть позицию")</x:f>
        <x:v>Открыть позицию</x:v>
      </x:c>
    </x:row>
    <x:row r="28" ht="28" customHeight="1">
      <x:c r="A28" s="16" t="str">
        <x:v>Кемеровская ТЭЦ</x:v>
      </x:c>
      <x:c r="B28" s="16" t="str">
        <x:v>2000577033-U312</x:v>
      </x:c>
      <x:c r="C28" s="16" t="str">
        <x:v>СМАЗКА SKF LGHP 2/1 1КГ</x:v>
      </x:c>
      <x:c r="D28" s="16" t="str">
        <x:v>Другие смазочные материалы и тех.жидкости</x:v>
      </x:c>
      <x:c r="E28" s="16" t="str">
        <x:v>ШТ</x:v>
      </x:c>
      <x:c r="F28" s="29" t="n">
        <x:v>3.2</x:v>
      </x:c>
      <x:c r="G28" s="17" t="n">
        <x:v>1754.4453999999998</x:v>
      </x:c>
      <x:c r="H28" s="17" t="n">
        <x:f>G28*F28</x:f>
        <x:v>5614.22528</x:v>
      </x:c>
      <x:c r="I28" s="22" t="str">
        <x:f>HYPERLINK("https://etp-aktiv.ru/catalog/materialy/gsm/2000577033-U312/","Открыть позицию")</x:f>
        <x:v>Открыть позицию</x:v>
      </x:c>
    </x:row>
    <x:row r="29" ht="28" customHeight="1">
      <x:c r="A29" s="16" t="str">
        <x:v>Кемеровская ТЭЦ</x:v>
      </x:c>
      <x:c r="B29" s="16" t="str">
        <x:v>2000457764-U312</x:v>
      </x:c>
      <x:c r="C29" s="16" t="str">
        <x:v>СМАЗКА ГРАФИТНАЯ Ж</x:v>
      </x:c>
      <x:c r="D29" s="16" t="str">
        <x:v>Масла и смазки различного назначения и типа</x:v>
      </x:c>
      <x:c r="E29" s="16" t="str">
        <x:v>КГ</x:v>
      </x:c>
      <x:c r="F29" s="21" t="n">
        <x:v>20</x:v>
      </x:c>
      <x:c r="G29" s="17" t="n">
        <x:v>339.3064</x:v>
      </x:c>
      <x:c r="H29" s="17" t="n">
        <x:f>G29*F29</x:f>
        <x:v>6786.128</x:v>
      </x:c>
      <x:c r="I29" s="22" t="str">
        <x:f>HYPERLINK("https://etp-aktiv.ru/catalog/materialy/gsm/2000457764-U312/","Открыть позицию")</x:f>
        <x:v>Открыть позицию</x:v>
      </x:c>
    </x:row>
    <x:row r="30" ht="28" customHeight="1">
      <x:c r="A30" s="16" t="str">
        <x:v>Кемеровская ТЭЦ</x:v>
      </x:c>
      <x:c r="B30" s="16" t="str">
        <x:v>2000219790-U312</x:v>
      </x:c>
      <x:c r="C30" s="16" t="str">
        <x:v>СМАЗКА СОЛИДОЛ С</x:v>
      </x:c>
      <x:c r="D30" s="16" t="str">
        <x:v>Масла и смазки различного назначения и типа</x:v>
      </x:c>
      <x:c r="E30" s="16" t="str">
        <x:v>КГ</x:v>
      </x:c>
      <x:c r="F30" s="29" t="n">
        <x:v>96.4</x:v>
      </x:c>
      <x:c r="G30" s="17" t="n">
        <x:v>122.8296</x:v>
      </x:c>
      <x:c r="H30" s="17" t="n">
        <x:f>G30*F30</x:f>
        <x:v>11840.77344</x:v>
      </x:c>
      <x:c r="I30" s="22" t="str">
        <x:f>HYPERLINK("https://etp-aktiv.ru/catalog/materialy/gsm/2000219790-U312/","Открыть позицию")</x:f>
        <x:v>Открыть позицию</x:v>
      </x:c>
    </x:row>
    <x:row r="31" ht="28" customHeight="1">
      <x:c r="A31" s="16" t="str">
        <x:v>Кемеровская ТЭЦ</x:v>
      </x:c>
      <x:c r="B31" s="16" t="str">
        <x:v>2000201484-U312</x:v>
      </x:c>
      <x:c r="C31" s="16" t="str">
        <x:v>СМАЗКА ЦИАТИМ-201</x:v>
      </x:c>
      <x:c r="D31" s="16" t="str">
        <x:v>Масла и смазки различного назначения и типа</x:v>
      </x:c>
      <x:c r="E31" s="16" t="str">
        <x:v>КГ</x:v>
      </x:c>
      <x:c r="F31" s="29" t="n">
        <x:v>3.353</x:v>
      </x:c>
      <x:c r="G31" s="17" t="n">
        <x:v>117.059</x:v>
      </x:c>
      <x:c r="H31" s="17" t="n">
        <x:f>G31*F31</x:f>
        <x:v>392.498827</x:v>
      </x:c>
      <x:c r="I31" s="22" t="str">
        <x:f>HYPERLINK("https://etp-aktiv.ru/catalog/materialy/gsm/2000201484-U312/","Открыть позицию")</x:f>
        <x:v>Открыть позицию</x:v>
      </x:c>
    </x:row>
    <x:row r="32" ht="28" customHeight="1">
      <x:c r="A32" s="16" t="str">
        <x:v>Кемеровская ТЭЦ</x:v>
      </x:c>
      <x:c r="B32" s="16" t="str">
        <x:v>2000211861-U312</x:v>
      </x:c>
      <x:c r="C32" s="16" t="str">
        <x:v>СМАЗКА ЦИАТИМ-203</x:v>
      </x:c>
      <x:c r="D32" s="16" t="str">
        <x:v>Масла и смазки различного назначения и типа</x:v>
      </x:c>
      <x:c r="E32" s="16" t="str">
        <x:v>КГ</x:v>
      </x:c>
      <x:c r="F32" s="29" t="n">
        <x:v>2.65</x:v>
      </x:c>
      <x:c r="G32" s="17" t="n">
        <x:v>167.1766</x:v>
      </x:c>
      <x:c r="H32" s="17" t="n">
        <x:f>G32*F32</x:f>
        <x:v>443.01799</x:v>
      </x:c>
      <x:c r="I32" s="22" t="str">
        <x:f>HYPERLINK("https://etp-aktiv.ru/catalog/materialy/gsm/2000211861-U312/","Открыть позицию")</x:f>
        <x:v>Открыть позицию</x:v>
      </x:c>
    </x:row>
    <x:row r="33" ht="28" customHeight="1">
      <x:c r="A33" s="16" t="str">
        <x:v>Кемеровская ТЭЦ</x:v>
      </x:c>
      <x:c r="B33" s="16" t="str">
        <x:v>2000211756-U312</x:v>
      </x:c>
      <x:c r="C33" s="16" t="str">
        <x:v>СМАЗКА ЦИАТИМ-221</x:v>
      </x:c>
      <x:c r="D33" s="16" t="str">
        <x:v>Масла и смазки различного назначения и типа</x:v>
      </x:c>
      <x:c r="E33" s="16" t="str">
        <x:v>КГ</x:v>
      </x:c>
      <x:c r="F33" s="29" t="n">
        <x:v>7.343</x:v>
      </x:c>
      <x:c r="G33" s="17" t="n">
        <x:v>695.0096</x:v>
      </x:c>
      <x:c r="H33" s="17" t="n">
        <x:f>G33*F33</x:f>
        <x:v>5103.4554928</x:v>
      </x:c>
      <x:c r="I33" s="22" t="str">
        <x:f>HYPERLINK("https://etp-aktiv.ru/catalog/materialy/gsm/2000211756-U312/","Открыть позицию")</x:f>
        <x:v>Открыть позицию</x:v>
      </x:c>
    </x:row>
    <x:row r="34" ht="28" customHeight="1">
      <x:c r="A34" s="16" t="str">
        <x:v>Кемеровская ТЭЦ</x:v>
      </x:c>
      <x:c r="B34" s="16" t="str">
        <x:v>2000564440-U312</x:v>
      </x:c>
      <x:c r="C34" s="16" t="str">
        <x:v>СМАЗКА ЦИАТИМ-221 0,8КГ ГОСТ9433-80</x:v>
      </x:c>
      <x:c r="D34" s="16" t="str">
        <x:v>Другие смазочные материалы и тех.жидкости</x:v>
      </x:c>
      <x:c r="E34" s="16" t="str">
        <x:v>ШТ</x:v>
      </x:c>
      <x:c r="F34" s="21" t="n">
        <x:v>2</x:v>
      </x:c>
      <x:c r="G34" s="17" t="n">
        <x:v>1372.5</x:v>
      </x:c>
      <x:c r="H34" s="17" t="n">
        <x:f>G34*F34</x:f>
        <x:v>2745</x:v>
      </x:c>
      <x:c r="I34" s="22" t="str">
        <x:f>HYPERLINK("https://etp-aktiv.ru/catalog/materialy/gsm/2000564440-U312/","Открыть позицию")</x:f>
        <x:v>Открыть позицию</x:v>
      </x:c>
    </x:row>
    <x:row r="35" ht="28" customHeight="1">
      <x:c r="A35" s="16" t="str">
        <x:v>Кемеровская ТЭЦ</x:v>
      </x:c>
      <x:c r="B35" s="16" t="str">
        <x:v>2000219778-U312</x:v>
      </x:c>
      <x:c r="C35" s="16" t="str">
        <x:v>СМАЗКА ЭПС-98</x:v>
      </x:c>
      <x:c r="D35" s="16" t="str">
        <x:v>Масла и смазки различного назначения и типа</x:v>
      </x:c>
      <x:c r="E35" s="16" t="str">
        <x:v>КГ</x:v>
      </x:c>
      <x:c r="F35" s="29" t="n">
        <x:v>1.699</x:v>
      </x:c>
      <x:c r="G35" s="17" t="n">
        <x:v>1574.5441999999998</x:v>
      </x:c>
      <x:c r="H35" s="17" t="n">
        <x:f>G35*F35</x:f>
        <x:v>2675.1505958</x:v>
      </x:c>
      <x:c r="I35" s="22" t="str">
        <x:f>HYPERLINK("https://etp-aktiv.ru/catalog/materialy/gsm/2000219778-U312/","Открыть позицию")</x:f>
        <x:v>Открыть позицию</x:v>
      </x:c>
    </x:row>
    <x:row r="36" ht="28" customHeight="1">
      <x:c r="A36" s="16" t="str">
        <x:v>Кемеровская ТЭЦ</x:v>
      </x:c>
      <x:c r="B36" s="16" t="str">
        <x:v>2000140957-U312</x:v>
      </x:c>
      <x:c r="C36" s="16" t="str">
        <x:v>СМОЛА ЭПОКСИДНАЯ ЭД-20</x:v>
      </x:c>
      <x:c r="D36" s="16" t="str">
        <x:v>Химические материалы прочие</x:v>
      </x:c>
      <x:c r="E36" s="16" t="str">
        <x:v>КГ</x:v>
      </x:c>
      <x:c r="F36" s="30" t="n">
        <x:v>0.4</x:v>
      </x:c>
      <x:c r="G36" s="17" t="n">
        <x:v>2499.7799999999997</x:v>
      </x:c>
      <x:c r="H36" s="17" t="n">
        <x:f>G36*F36</x:f>
        <x:v>999.9119999999999</x:v>
      </x:c>
      <x:c r="I36" s="22" t="str">
        <x:f>HYPERLINK("https://etp-aktiv.ru/catalog/materialy/himicheskaya-produkciya/2000140957-U312/","Открыть позицию")</x:f>
        <x:v>Открыть позицию</x:v>
      </x:c>
    </x:row>
    <x:row r="37" ht="28" customHeight="1">
      <x:c r="A37" s="16" t="str">
        <x:v>Кемеровская ТЭЦ</x:v>
      </x:c>
      <x:c r="B37" s="16" t="str">
        <x:v>2000459388-U312</x:v>
      </x:c>
      <x:c r="C37" s="16" t="str">
        <x:v>СРЕДСТВО Д/УДАЛ РЖАВЧИНЫ АНТИРЖАВИН</x:v>
      </x:c>
      <x:c r="D37" s="16" t="str">
        <x:v>Химические материалы прочие</x:v>
      </x:c>
      <x:c r="E37" s="16" t="str">
        <x:v>Л</x:v>
      </x:c>
      <x:c r="F37" s="29" t="n">
        <x:v>11.5</x:v>
      </x:c>
      <x:c r="G37" s="17" t="n">
        <x:v>473.07939999999996</x:v>
      </x:c>
      <x:c r="H37" s="17" t="n">
        <x:f>G37*F37</x:f>
        <x:v>5440.4131</x:v>
      </x:c>
      <x:c r="I37" s="22" t="str">
        <x:f>HYPERLINK("https://etp-aktiv.ru/catalog/materialy/himicheskaya-produkciya/2000459388-U312/","Открыть позицию")</x:f>
        <x:v>Открыть позицию</x:v>
      </x:c>
    </x:row>
    <x:row r="38" ht="28" customHeight="1">
      <x:c r="A38" s="16" t="str">
        <x:v>Кемеровская ТЭЦ</x:v>
      </x:c>
      <x:c r="B38" s="16" t="str">
        <x:v>2000683602-U312</x:v>
      </x:c>
      <x:c r="C38" s="16" t="str">
        <x:v>ФЛЮС БЕЗОТМЫВОЧН VULTICORE R41-01I 30МЛ</x:v>
      </x:c>
      <x:c r="D38" s="16" t="str">
        <x:v>Химические материалы прочие</x:v>
      </x:c>
      <x:c r="E38" s="16" t="str">
        <x:v>ШТ</x:v>
      </x:c>
      <x:c r="F38" s="21" t="n">
        <x:v>2</x:v>
      </x:c>
      <x:c r="G38" s="17" t="n">
        <x:v>426.2314</x:v>
      </x:c>
      <x:c r="H38" s="17" t="n">
        <x:f>G38*F38</x:f>
        <x:v>852.4628</x:v>
      </x:c>
      <x:c r="I38" s="22" t="str">
        <x:f>HYPERLINK("https://etp-aktiv.ru/catalog/materialy/himicheskaya-produkciya/2000683602-U312/","Открыть позицию")</x:f>
        <x:v>Открыть позицию</x:v>
      </x:c>
    </x:row>
    <x:row r="39" ht="28" customHeight="1">
      <x:c r="A39" s="16" t="str">
        <x:v>Кемеровская ТЭЦ</x:v>
      </x:c>
      <x:c r="B39" s="16" t="str">
        <x:v>2000716755-U312</x:v>
      </x:c>
      <x:c r="C39" s="16" t="str">
        <x:v>ЭМАЛЬ КО-983 КРАСНО-КОРИЧНЕВАЯ</x:v>
      </x:c>
      <x:c r="D39" s="16" t="str">
        <x:v>Лакокрасочные материалы</x:v>
      </x:c>
      <x:c r="E39" s="16" t="str">
        <x:v>КГ</x:v>
      </x:c>
      <x:c r="F39" s="29" t="n">
        <x:v>12.8</x:v>
      </x:c>
      <x:c r="G39" s="17" t="n">
        <x:v>821.67</x:v>
      </x:c>
      <x:c r="H39" s="17" t="n">
        <x:f>G39*F39</x:f>
        <x:v>10517.376</x:v>
      </x:c>
      <x:c r="I39" s="22" t="str">
        <x:f>HYPERLINK("https://etp-aktiv.ru/catalog/materialy/lakokrasochnye-materialy/2000716755-U312/","Открыть позицию")</x:f>
        <x:v>Открыть позицию</x:v>
      </x:c>
    </x:row>
    <x:row r="40" ht="28" customHeight="1">
      <x:c r="A40" s="16" t="str">
        <x:v>Кемеровская теплосетевая компания</x:v>
      </x:c>
      <x:c r="B40" s="16" t="str">
        <x:v>2000557755-U121</x:v>
      </x:c>
      <x:c r="C40" s="16" t="str">
        <x:v>АНТИФРИЗ Д/ПНЕВМОТОРМОЗОВ АС-900 1Л</x:v>
      </x:c>
      <x:c r="D40" s="16" t="str">
        <x:v>Другие смазочные материалы и тех.жидкости</x:v>
      </x:c>
      <x:c r="E40" s="16" t="str">
        <x:v>ШТ</x:v>
      </x:c>
      <x:c r="F40" s="21" t="n">
        <x:v>7</x:v>
      </x:c>
      <x:c r="G40" s="17" t="n">
        <x:v>253.08899999999997</x:v>
      </x:c>
      <x:c r="H40" s="17" t="n">
        <x:f>G40*F40</x:f>
        <x:v>1771.6229999999998</x:v>
      </x:c>
      <x:c r="I40" s="22" t="str">
        <x:f>HYPERLINK("https://etp-aktiv.ru/catalog/materialy/gsm/2000557755-U121/","Открыть позицию")</x:f>
        <x:v>Открыть позицию</x:v>
      </x:c>
    </x:row>
    <x:row r="41" ht="28" customHeight="1">
      <x:c r="A41" s="16" t="str">
        <x:v>Кемеровская теплосетевая компания</x:v>
      </x:c>
      <x:c r="B41" s="16" t="str">
        <x:v>2000256231-U121</x:v>
      </x:c>
      <x:c r="C41" s="16" t="str">
        <x:v>ГРУНТ-ЭМАЛЬ ХВ-0278 КРАСНО-КОРИЧНЕВЫЙ</x:v>
      </x:c>
      <x:c r="D41" s="16" t="str">
        <x:v>Лакокрасочные материалы</x:v>
      </x:c>
      <x:c r="E41" s="16" t="str">
        <x:v>КГ</x:v>
      </x:c>
      <x:c r="F41" s="21" t="n">
        <x:v>75</x:v>
      </x:c>
      <x:c r="G41" s="17" t="n">
        <x:v>628.3</x:v>
      </x:c>
      <x:c r="H41" s="17" t="n">
        <x:f>G41*F41</x:f>
        <x:v>47122.5</x:v>
      </x:c>
      <x:c r="I41" s="22" t="str">
        <x:f>HYPERLINK("https://etp-aktiv.ru/catalog/materialy/lakokrasochnye-materialy/2000256231-U121/","Открыть позицию")</x:f>
        <x:v>Открыть позицию</x:v>
      </x:c>
    </x:row>
    <x:row r="42" ht="28" customHeight="1">
      <x:c r="A42" s="16" t="str">
        <x:v>Кемеровская теплосетевая компания</x:v>
      </x:c>
      <x:c r="B42" s="16" t="str">
        <x:v>2000129878-U121</x:v>
      </x:c>
      <x:c r="C42" s="16" t="str">
        <x:v>КОЛЕР-ПАСТА ТЕКС УНИВЕРС N12 ПЕРС 0,1КГ</x:v>
      </x:c>
      <x:c r="D42" s="16" t="str">
        <x:v>Лакокрасочные материалы</x:v>
      </x:c>
      <x:c r="E42" s="16" t="str">
        <x:v>ШТ</x:v>
      </x:c>
      <x:c r="F42" s="21" t="n">
        <x:v>38</x:v>
      </x:c>
      <x:c r="G42" s="17" t="n">
        <x:v>44.9936</x:v>
      </x:c>
      <x:c r="H42" s="17" t="n">
        <x:f>G42*F42</x:f>
        <x:v>1709.7568</x:v>
      </x:c>
      <x:c r="I42" s="22" t="str">
        <x:f>HYPERLINK("https://etp-aktiv.ru/catalog/materialy/lakokrasochnye-materialy/2000129878-U121/","Открыть позицию")</x:f>
        <x:v>Открыть позицию</x:v>
      </x:c>
    </x:row>
    <x:row r="43" ht="28" customHeight="1">
      <x:c r="A43" s="16" t="str">
        <x:v>Кемеровская теплосетевая компания</x:v>
      </x:c>
      <x:c r="B43" s="16" t="str">
        <x:v>2000486105-U121</x:v>
      </x:c>
      <x:c r="C43" s="16" t="str">
        <x:v>КРАСКА БТ-177 СЕРЕБРЯНКА</x:v>
      </x:c>
      <x:c r="D43" s="16" t="str">
        <x:v>Лакокрасочные материалы</x:v>
      </x:c>
      <x:c r="E43" s="16" t="str">
        <x:v>КГ</x:v>
      </x:c>
      <x:c r="F43" s="29" t="n">
        <x:v>32.5</x:v>
      </x:c>
      <x:c r="G43" s="17" t="n">
        <x:v>130.0032</x:v>
      </x:c>
      <x:c r="H43" s="17" t="n">
        <x:f>G43*F43</x:f>
        <x:v>4225.103999999999</x:v>
      </x:c>
      <x:c r="I43" s="22" t="str">
        <x:f>HYPERLINK("https://etp-aktiv.ru/catalog/materialy/lakokrasochnye-materialy/2000486105-U121/","Открыть позицию")</x:f>
        <x:v>Открыть позицию</x:v>
      </x:c>
    </x:row>
    <x:row r="44" ht="28" customHeight="1">
      <x:c r="A44" s="16" t="str">
        <x:v>Кемеровская теплосетевая компания</x:v>
      </x:c>
      <x:c r="B44" s="16" t="str">
        <x:v>2000547903-U121</x:v>
      </x:c>
      <x:c r="C44" s="16" t="str">
        <x:v>МАСЛО HUSQVARNA HP 2Т 587 80 85-12 1Л</x:v>
      </x:c>
      <x:c r="D44" s="16" t="str">
        <x:v>Другие смазочные материалы и тех.жидкости</x:v>
      </x:c>
      <x:c r="E44" s="16" t="str">
        <x:v>ШТ</x:v>
      </x:c>
      <x:c r="F44" s="21" t="n">
        <x:v>5</x:v>
      </x:c>
      <x:c r="G44" s="17" t="n">
        <x:v>1271.7524</x:v>
      </x:c>
      <x:c r="H44" s="17" t="n">
        <x:f>G44*F44</x:f>
        <x:v>6358.762000000001</x:v>
      </x:c>
      <x:c r="I44" s="22" t="str">
        <x:f>HYPERLINK("https://etp-aktiv.ru/catalog/materialy/gsm/2000547903-U121/","Открыть позицию")</x:f>
        <x:v>Открыть позицию</x:v>
      </x:c>
    </x:row>
    <x:row r="45" ht="28" customHeight="1">
      <x:c r="A45" s="16" t="str">
        <x:v>Кемеровская теплосетевая компания</x:v>
      </x:c>
      <x:c r="B45" s="16" t="str">
        <x:v>2000547790-U121</x:v>
      </x:c>
      <x:c r="C45" s="16" t="str">
        <x:v>МАСЛО ГИДРАВЛИЧЕСКОЕ RANDO HD46</x:v>
      </x:c>
      <x:c r="D45" s="16" t="str">
        <x:v>Масла и смазки различного назначения и типа</x:v>
      </x:c>
      <x:c r="E45" s="16" t="str">
        <x:v>Т</x:v>
      </x:c>
      <x:c r="F45" s="30" t="n">
        <x:v>0.021</x:v>
      </x:c>
      <x:c r="G45" s="17" t="n">
        <x:v>153223.6918</x:v>
      </x:c>
      <x:c r="H45" s="17" t="n">
        <x:f>G45*F45</x:f>
        <x:v>3217.6975278</x:v>
      </x:c>
      <x:c r="I45" s="22" t="str">
        <x:f>HYPERLINK("https://etp-aktiv.ru/catalog/materialy/gsm/2000547790-U121/","Открыть позицию")</x:f>
        <x:v>Открыть позицию</x:v>
      </x:c>
    </x:row>
    <x:row r="46" ht="28" customHeight="1">
      <x:c r="A46" s="16" t="str">
        <x:v>Кемеровская теплосетевая компания</x:v>
      </x:c>
      <x:c r="B46" s="16" t="str">
        <x:v>2000176820-U121</x:v>
      </x:c>
      <x:c r="C46" s="16" t="str">
        <x:v>СВАРКА ХОЛОДНАЯ POXIPOL</x:v>
      </x:c>
      <x:c r="D46" s="16" t="str">
        <x:v>Химические материалы прочие</x:v>
      </x:c>
      <x:c r="E46" s="16" t="str">
        <x:v>Г</x:v>
      </x:c>
      <x:c r="F46" s="21" t="n">
        <x:v>112</x:v>
      </x:c>
      <x:c r="G46" s="17" t="n">
        <x:v>22.7408</x:v>
      </x:c>
      <x:c r="H46" s="17" t="n">
        <x:f>G46*F46</x:f>
        <x:v>2546.9696</x:v>
      </x:c>
      <x:c r="I46" s="22" t="str">
        <x:f>HYPERLINK("https://etp-aktiv.ru/catalog/materialy/himicheskaya-produkciya/2000176820-U121/","Открыть позицию")</x:f>
        <x:v>Открыть позицию</x:v>
      </x:c>
    </x:row>
    <x:row r="47" ht="28" customHeight="1">
      <x:c r="A47" s="16" t="str">
        <x:v>Кемеровская теплосетевая компания</x:v>
      </x:c>
      <x:c r="B47" s="16" t="str">
        <x:v>2000704508-U121</x:v>
      </x:c>
      <x:c r="C47" s="16" t="str">
        <x:v>ЭМАЛЬ FARBITEX ПФ-115 АЛК ЖЕЛТАЯ</x:v>
      </x:c>
      <x:c r="D47" s="16" t="str">
        <x:v>Лакокрасочные материалы</x:v>
      </x:c>
      <x:c r="E47" s="16" t="str">
        <x:v>КГ</x:v>
      </x:c>
      <x:c r="F47" s="21" t="n">
        <x:v>2</x:v>
      </x:c>
      <x:c r="G47" s="17" t="n">
        <x:v>743.4436</x:v>
      </x:c>
      <x:c r="H47" s="17" t="n">
        <x:f>G47*F47</x:f>
        <x:v>1486.8872</x:v>
      </x:c>
      <x:c r="I47" s="22" t="str">
        <x:f>HYPERLINK("https://etp-aktiv.ru/catalog/materialy/lakokrasochnye-materialy/2000704508-U121/","Открыть позицию")</x:f>
        <x:v>Открыть позицию</x:v>
      </x:c>
    </x:row>
    <x:row r="48" ht="28" customHeight="1">
      <x:c r="A48" s="16" t="str">
        <x:v>Кемеровская теплосетевая компания</x:v>
      </x:c>
      <x:c r="B48" s="16" t="str">
        <x:v>2000572396-U121</x:v>
      </x:c>
      <x:c r="C48" s="16" t="str">
        <x:v>ЭМАЛЬ АК-511 СЕРЫЙ</x:v>
      </x:c>
      <x:c r="D48" s="16" t="str">
        <x:v>Лакокрасочные материалы</x:v>
      </x:c>
      <x:c r="E48" s="16" t="str">
        <x:v>КГ</x:v>
      </x:c>
      <x:c r="F48" s="29" t="n">
        <x:v>1.97</x:v>
      </x:c>
      <x:c r="G48" s="17" t="n">
        <x:v>206.9486</x:v>
      </x:c>
      <x:c r="H48" s="17" t="n">
        <x:f>G48*F48</x:f>
        <x:v>407.688742</x:v>
      </x:c>
      <x:c r="I48" s="22" t="str">
        <x:f>HYPERLINK("https://etp-aktiv.ru/catalog/materialy/lakokrasochnye-materialy/2000572396-U121/","Открыть позицию")</x:f>
        <x:v>Открыть позицию</x:v>
      </x:c>
    </x:row>
    <x:row r="49" ht="28" customHeight="1">
      <x:c r="A49" s="16" t="str">
        <x:v>Кемеровская теплосетевая компания</x:v>
      </x:c>
      <x:c r="B49" s="16" t="str">
        <x:v>2000129319-U121</x:v>
      </x:c>
      <x:c r="C49" s="16" t="str">
        <x:v>ЭМАЛЬ ОПТИУМ ПФ-115 ЗЕЛЕНАЯ 2,7КГ</x:v>
      </x:c>
      <x:c r="D49" s="16" t="str">
        <x:v>Лакокрасочные материалы</x:v>
      </x:c>
      <x:c r="E49" s="16" t="str">
        <x:v>ШТ</x:v>
      </x:c>
      <x:c r="F49" s="21" t="n">
        <x:v>1</x:v>
      </x:c>
      <x:c r="G49" s="17" t="n">
        <x:v>433.86859999999996</x:v>
      </x:c>
      <x:c r="H49" s="17" t="n">
        <x:f>G49*F49</x:f>
        <x:v>433.86859999999996</x:v>
      </x:c>
      <x:c r="I49" s="22" t="str">
        <x:f>HYPERLINK("https://etp-aktiv.ru/catalog/materialy/lakokrasochnye-materialy/2000129319-U121/","Открыть позицию")</x:f>
        <x:v>Открыть позицию</x:v>
      </x:c>
    </x:row>
    <x:row r="50" ht="28" customHeight="1">
      <x:c r="A50" s="16" t="str">
        <x:v>Кемеровская теплосетевая компания</x:v>
      </x:c>
      <x:c r="B50" s="16" t="str">
        <x:v>2000047125-U121</x:v>
      </x:c>
      <x:c r="C50" s="16" t="str">
        <x:v>ЭМАЛЬ ПФ-115 ЖЕЛТО-КОРИЧНЕВАЯ</x:v>
      </x:c>
      <x:c r="D50" s="16" t="str">
        <x:v>Лакокрасочные материалы</x:v>
      </x:c>
      <x:c r="E50" s="16" t="str">
        <x:v>КГ</x:v>
      </x:c>
      <x:c r="F50" s="29" t="n">
        <x:v>10.9</x:v>
      </x:c>
      <x:c r="G50" s="17" t="n">
        <x:v>130.0032</x:v>
      </x:c>
      <x:c r="H50" s="17" t="n">
        <x:f>G50*F50</x:f>
        <x:v>1417.03488</x:v>
      </x:c>
      <x:c r="I50" s="22" t="str">
        <x:f>HYPERLINK("https://etp-aktiv.ru/catalog/materialy/lakokrasochnye-materialy/2000047125-U121/","Открыть позицию")</x:f>
        <x:v>Открыть позицию</x:v>
      </x:c>
    </x:row>
    <x:row r="51" ht="28" customHeight="1">
      <x:c r="A51" s="16" t="str">
        <x:v>Ново-Кемеровская ТЭЦ</x:v>
      </x:c>
      <x:c r="B51" s="16" t="str">
        <x:v>2000862553-U411</x:v>
      </x:c>
      <x:c r="C51" s="16" t="str">
        <x:v>ГРАФИТ СМАЗОЧНЫЙ ГС-1 ГОСТ8295-73</x:v>
      </x:c>
      <x:c r="D51" s="16" t="str">
        <x:v>Химические материалы прочие</x:v>
      </x:c>
      <x:c r="E51" s="16" t="str">
        <x:v>КГ</x:v>
      </x:c>
      <x:c r="F51" s="21" t="n">
        <x:v>2</x:v>
      </x:c>
      <x:c r="G51" s="17" t="n">
        <x:v>779.275</x:v>
      </x:c>
      <x:c r="H51" s="17" t="n">
        <x:f>G51*F51</x:f>
        <x:v>1558.55</x:v>
      </x:c>
      <x:c r="I51" s="22" t="str">
        <x:f>HYPERLINK("https://etp-aktiv.ru/catalog/materialy/himicheskaya-produkciya/2000862553-U411/","Открыть позицию")</x:f>
        <x:v>Открыть позицию</x:v>
      </x:c>
    </x:row>
    <x:row r="52" ht="28" customHeight="1">
      <x:c r="A52" s="16" t="str">
        <x:v>Ново-Кемеровская ТЭЦ</x:v>
      </x:c>
      <x:c r="B52" s="16" t="str">
        <x:v>2000530963-U411</x:v>
      </x:c>
      <x:c r="C52" s="16" t="str">
        <x:v>КМП ПРОБ НА НАЛИЧИЕ ВВ ПОИСК-ХТ КАПЕЛЬН</x:v>
      </x:c>
      <x:c r="D52" s="16" t="str">
        <x:v>Химические реактивы</x:v>
      </x:c>
      <x:c r="E52" s="16" t="str">
        <x:v>УПК</x:v>
      </x:c>
      <x:c r="F52" s="21" t="n">
        <x:v>2</x:v>
      </x:c>
      <x:c r="G52" s="17" t="n">
        <x:v>1875.75</x:v>
      </x:c>
      <x:c r="H52" s="17" t="n">
        <x:f>G52*F52</x:f>
        <x:v>3751.5</x:v>
      </x:c>
      <x:c r="I52" s="22" t="str">
        <x:f>HYPERLINK("https://etp-aktiv.ru/catalog/materialy/himicheskaya-produkciya/2000530963-U411/","Открыть позицию")</x:f>
        <x:v>Открыть позицию</x:v>
      </x:c>
    </x:row>
    <x:row r="53" ht="28" customHeight="1">
      <x:c r="A53" s="16" t="str">
        <x:v>Ново-Кемеровская ТЭЦ</x:v>
      </x:c>
      <x:c r="B53" s="16" t="str">
        <x:v>2000170854-U411</x:v>
      </x:c>
      <x:c r="C53" s="16" t="str">
        <x:v>КРАСКА АЭРОЗОЛЬ KUDO КРАСНАЯ 520Г</x:v>
      </x:c>
      <x:c r="D53" s="16" t="str">
        <x:v>Лакокрасочные материалы</x:v>
      </x:c>
      <x:c r="E53" s="16" t="str">
        <x:v>ШТ</x:v>
      </x:c>
      <x:c r="F53" s="21" t="n">
        <x:v>14</x:v>
      </x:c>
      <x:c r="G53" s="17" t="n">
        <x:v>190.0028</x:v>
      </x:c>
      <x:c r="H53" s="17" t="n">
        <x:f>G53*F53</x:f>
        <x:v>2660.0392</x:v>
      </x:c>
      <x:c r="I53" s="22" t="str">
        <x:f>HYPERLINK("https://etp-aktiv.ru/catalog/materialy/lakokrasochnye-materialy/2000170854-U411/","Открыть позицию")</x:f>
        <x:v>Открыть позицию</x:v>
      </x:c>
    </x:row>
    <x:row r="54" ht="28" customHeight="1">
      <x:c r="A54" s="16" t="str">
        <x:v>Ново-Кемеровская ТЭЦ</x:v>
      </x:c>
      <x:c r="B54" s="16" t="str">
        <x:v>2000147307-U411</x:v>
      </x:c>
      <x:c r="C54" s="16" t="str">
        <x:v>КРАСКА АЭРОЗОЛЬ KUDO ЧЕРНАЯ 520Г</x:v>
      </x:c>
      <x:c r="D54" s="16" t="str">
        <x:v>Лакокрасочные материалы</x:v>
      </x:c>
      <x:c r="E54" s="16" t="str">
        <x:v>ШТ</x:v>
      </x:c>
      <x:c r="F54" s="21" t="n">
        <x:v>10</x:v>
      </x:c>
      <x:c r="G54" s="17" t="n">
        <x:v>190.0028</x:v>
      </x:c>
      <x:c r="H54" s="17" t="n">
        <x:f>G54*F54</x:f>
        <x:v>1900.028</x:v>
      </x:c>
      <x:c r="I54" s="22" t="str">
        <x:f>HYPERLINK("https://etp-aktiv.ru/catalog/materialy/lakokrasochnye-materialy/2000147307-U411/","Открыть позицию")</x:f>
        <x:v>Открыть позицию</x:v>
      </x:c>
    </x:row>
    <x:row r="55" ht="28" customHeight="1">
      <x:c r="A55" s="16" t="str">
        <x:v>Ново-Кемеровская ТЭЦ</x:v>
      </x:c>
      <x:c r="B55" s="16" t="str">
        <x:v>2000579575-U411</x:v>
      </x:c>
      <x:c r="C55" s="16" t="str">
        <x:v>ЛАК ЛЭУ-227 ОБС.504.039ТУ</x:v>
      </x:c>
      <x:c r="D55" s="16" t="str">
        <x:v>Химические материалы прочие</x:v>
      </x:c>
      <x:c r="E55" s="16" t="str">
        <x:v>КГ</x:v>
      </x:c>
      <x:c r="F55" s="21" t="n">
        <x:v>120</x:v>
      </x:c>
      <x:c r="G55" s="17" t="n">
        <x:v>2980.1549999999997</x:v>
      </x:c>
      <x:c r="H55" s="17" t="n">
        <x:f>G55*F55</x:f>
        <x:v>357618.6</x:v>
      </x:c>
      <x:c r="I55" s="22" t="str">
        <x:f>HYPERLINK("https://etp-aktiv.ru/catalog/materialy/himicheskaya-produkciya/2000579575-U411/","Открыть позицию")</x:f>
        <x:v>Открыть позицию</x:v>
      </x:c>
    </x:row>
    <x:row r="56" ht="28" customHeight="1">
      <x:c r="A56" s="16" t="str">
        <x:v>Ново-Кемеровская ТЭЦ</x:v>
      </x:c>
      <x:c r="B56" s="16" t="str">
        <x:v>2000030396-U411</x:v>
      </x:c>
      <x:c r="C56" s="16" t="str">
        <x:v>МАСЛО М10Г2К SAE30</x:v>
      </x:c>
      <x:c r="D56" s="16" t="str">
        <x:v>Масла и смазки различного назначения и типа</x:v>
      </x:c>
      <x:c r="E56" s="16" t="str">
        <x:v>Т</x:v>
      </x:c>
      <x:c r="F56" s="30" t="n">
        <x:v>0.124</x:v>
      </x:c>
      <x:c r="G56" s="17" t="n">
        <x:v>29731.046199999997</x:v>
      </x:c>
      <x:c r="H56" s="17" t="n">
        <x:f>G56*F56</x:f>
        <x:v>3686.6497287999996</x:v>
      </x:c>
      <x:c r="I56" s="22" t="str">
        <x:f>HYPERLINK("https://etp-aktiv.ru/catalog/materialy/gsm/2000030396-U411/","Открыть позицию")</x:f>
        <x:v>Открыть позицию</x:v>
      </x:c>
    </x:row>
    <x:row r="57" ht="28" customHeight="1">
      <x:c r="A57" s="16" t="str">
        <x:v>Ново-Кемеровская ТЭЦ</x:v>
      </x:c>
      <x:c r="B57" s="16" t="str">
        <x:v>2000030484-U411</x:v>
      </x:c>
      <x:c r="C57" s="16" t="str">
        <x:v>МАСЛО ТАД-17 80W90 GL-5</x:v>
      </x:c>
      <x:c r="D57" s="16" t="str">
        <x:v>Масла и смазки различного назначения и типа</x:v>
      </x:c>
      <x:c r="E57" s="16" t="str">
        <x:v>Т</x:v>
      </x:c>
      <x:c r="F57" s="30" t="n">
        <x:v>0.056</x:v>
      </x:c>
      <x:c r="G57" s="17" t="n">
        <x:v>95148.8126</x:v>
      </x:c>
      <x:c r="H57" s="17" t="n">
        <x:f>G57*F57</x:f>
        <x:v>5328.3335056000005</x:v>
      </x:c>
      <x:c r="I57" s="22" t="str">
        <x:f>HYPERLINK("https://etp-aktiv.ru/catalog/materialy/gsm/2000030484-U411/","Открыть позицию")</x:f>
        <x:v>Открыть позицию</x:v>
      </x:c>
    </x:row>
    <x:row r="58" ht="28" customHeight="1">
      <x:c r="A58" s="16" t="str">
        <x:v>Ново-Кемеровская ТЭЦ</x:v>
      </x:c>
      <x:c r="B58" s="16" t="str">
        <x:v>2000547971-U411</x:v>
      </x:c>
      <x:c r="C58" s="16" t="str">
        <x:v>МАСЛО ТРАНСМИС ENEOS ATF DEXRON-III 4Л</x:v>
      </x:c>
      <x:c r="D58" s="16" t="str">
        <x:v>Масла и смазки различного назначения и типа</x:v>
      </x:c>
      <x:c r="E58" s="16" t="str">
        <x:v>ШТ</x:v>
      </x:c>
      <x:c r="F58" s="21" t="n">
        <x:v>2</x:v>
      </x:c>
      <x:c r="G58" s="17" t="n">
        <x:v>983.6615999999999</x:v>
      </x:c>
      <x:c r="H58" s="17" t="n">
        <x:f>G58*F58</x:f>
        <x:v>1967.3231999999998</x:v>
      </x:c>
      <x:c r="I58" s="22" t="str">
        <x:f>HYPERLINK("https://etp-aktiv.ru/catalog/materialy/gsm/2000547971-U411/","Открыть позицию")</x:f>
        <x:v>Открыть позицию</x:v>
      </x:c>
    </x:row>
    <x:row r="59" ht="28" customHeight="1">
      <x:c r="A59" s="16" t="str">
        <x:v>Ново-Кемеровская ТЭЦ</x:v>
      </x:c>
      <x:c r="B59" s="16" t="str">
        <x:v>2000037025-U411</x:v>
      </x:c>
      <x:c r="C59" s="16" t="str">
        <x:v>РАСТВОРИТЕЛЬ 650</x:v>
      </x:c>
      <x:c r="D59" s="16" t="str">
        <x:v>Лакокрасочные материалы</x:v>
      </x:c>
      <x:c r="E59" s="16" t="str">
        <x:v>КГ</x:v>
      </x:c>
      <x:c r="F59" s="30" t="n">
        <x:v>0.335</x:v>
      </x:c>
      <x:c r="G59" s="17" t="n">
        <x:v>106.66460000000001</x:v>
      </x:c>
      <x:c r="H59" s="17" t="n">
        <x:f>G59*F59</x:f>
        <x:v>35.732641</x:v>
      </x:c>
      <x:c r="I59" s="22" t="str">
        <x:f>HYPERLINK("https://etp-aktiv.ru/catalog/materialy/lakokrasochnye-materialy/2000037025-U411/","Открыть позицию")</x:f>
        <x:v>Открыть позицию</x:v>
      </x:c>
    </x:row>
    <x:row r="60" ht="28" customHeight="1">
      <x:c r="A60" s="16" t="str">
        <x:v>Ново-Кемеровская ТЭЦ</x:v>
      </x:c>
      <x:c r="B60" s="16" t="str">
        <x:v>2000499976-U411</x:v>
      </x:c>
      <x:c r="C60" s="16" t="str">
        <x:v>РАСТВОРИТЕЛЬ Р-4 10Л ГОСТ7827-74</x:v>
      </x:c>
      <x:c r="D60" s="16" t="str">
        <x:v>Лакокрасочные материалы</x:v>
      </x:c>
      <x:c r="E60" s="16" t="str">
        <x:v>ШТ</x:v>
      </x:c>
      <x:c r="F60" s="21" t="n">
        <x:v>1</x:v>
      </x:c>
      <x:c r="G60" s="17" t="n">
        <x:v>106.6768</x:v>
      </x:c>
      <x:c r="H60" s="17" t="n">
        <x:f>G60*F60</x:f>
        <x:v>106.6768</x:v>
      </x:c>
      <x:c r="I60" s="22" t="str">
        <x:f>HYPERLINK("https://etp-aktiv.ru/catalog/materialy/lakokrasochnye-materialy/2000499976-U411/","Открыть позицию")</x:f>
        <x:v>Открыть позицию</x:v>
      </x:c>
    </x:row>
    <x:row r="61" ht="28" customHeight="1">
      <x:c r="A61" s="16" t="str">
        <x:v>Ново-Кемеровская ТЭЦ</x:v>
      </x:c>
      <x:c r="B61" s="16" t="str">
        <x:v>2000233480-U411</x:v>
      </x:c>
      <x:c r="C61" s="16" t="str">
        <x:v>СМАЗКА ЛИТОЛ-24 350Г</x:v>
      </x:c>
      <x:c r="D61" s="16" t="str">
        <x:v>Масла и смазки различного назначения и типа</x:v>
      </x:c>
      <x:c r="E61" s="16" t="str">
        <x:v>ШТ</x:v>
      </x:c>
      <x:c r="F61" s="21" t="n">
        <x:v>83</x:v>
      </x:c>
      <x:c r="G61" s="17" t="n">
        <x:v>118.8402</x:v>
      </x:c>
      <x:c r="H61" s="17" t="n">
        <x:f>G61*F61</x:f>
        <x:v>9863.7366</x:v>
      </x:c>
      <x:c r="I61" s="22" t="str">
        <x:f>HYPERLINK("https://etp-aktiv.ru/catalog/materialy/gsm/2000233480-U411/","Открыть позицию")</x:f>
        <x:v>Открыть позицию</x:v>
      </x:c>
    </x:row>
    <x:row r="62" ht="28" customHeight="1">
      <x:c r="A62" s="16" t="str">
        <x:v>Ново-Кемеровская ТЭЦ</x:v>
      </x:c>
      <x:c r="B62" s="16" t="str">
        <x:v>2000249469-U411</x:v>
      </x:c>
      <x:c r="C62" s="16" t="str">
        <x:v>СМАЗКА ЛИТОЛ-24 850Г</x:v>
      </x:c>
      <x:c r="D62" s="16" t="str">
        <x:v>Масла и смазки различного назначения и типа</x:v>
      </x:c>
      <x:c r="E62" s="16" t="str">
        <x:v>ШТ</x:v>
      </x:c>
      <x:c r="F62" s="21" t="n">
        <x:v>20</x:v>
      </x:c>
      <x:c r="G62" s="17" t="n">
        <x:v>160.125</x:v>
      </x:c>
      <x:c r="H62" s="17" t="n">
        <x:f>G62*F62</x:f>
        <x:v>3202.5</x:v>
      </x:c>
      <x:c r="I62" s="22" t="str">
        <x:f>HYPERLINK("https://etp-aktiv.ru/catalog/materialy/gsm/2000249469-U411/","Открыть позицию")</x:f>
        <x:v>Открыть позицию</x:v>
      </x:c>
    </x:row>
    <x:row r="63" ht="28" customHeight="1">
      <x:c r="A63" s="16" t="str">
        <x:v>Ново-Кемеровская ТЭЦ</x:v>
      </x:c>
      <x:c r="B63" s="16" t="str">
        <x:v>2000649306-U411</x:v>
      </x:c>
      <x:c r="C63" s="16" t="str">
        <x:v>СМЫВКА APS-M10 ТУ2319-004-78125300-2007</x:v>
      </x:c>
      <x:c r="D63" s="16" t="str">
        <x:v>Химические материалы прочие</x:v>
      </x:c>
      <x:c r="E63" s="16" t="str">
        <x:v>КГ</x:v>
      </x:c>
      <x:c r="F63" s="29" t="n">
        <x:v>7.5</x:v>
      </x:c>
      <x:c r="G63" s="17" t="n">
        <x:v>636.6813999999999</x:v>
      </x:c>
      <x:c r="H63" s="17" t="n">
        <x:f>G63*F63</x:f>
        <x:v>4775.1105</x:v>
      </x:c>
      <x:c r="I63" s="22" t="str">
        <x:f>HYPERLINK("https://etp-aktiv.ru/catalog/materialy/himicheskaya-produkciya/2000649306-U411/","Открыть позицию")</x:f>
        <x:v>Открыть позицию</x:v>
      </x:c>
    </x:row>
    <x:row r="64" ht="28" customHeight="1">
      <x:c r="A64" s="16" t="str">
        <x:v>Ново-Кемеровская ТЭЦ</x:v>
      </x:c>
      <x:c r="B64" s="16" t="str">
        <x:v>2000528321-U411</x:v>
      </x:c>
      <x:c r="C64" s="16" t="str">
        <x:v>СРЕДСТВО МОЮЩЕЕ ВУК-Ф</x:v>
      </x:c>
      <x:c r="D64" s="16" t="str">
        <x:v>Химические материалы прочие</x:v>
      </x:c>
      <x:c r="E64" s="16" t="str">
        <x:v>КГ</x:v>
      </x:c>
      <x:c r="F64" s="21" t="n">
        <x:v>9</x:v>
      </x:c>
      <x:c r="G64" s="17" t="n">
        <x:v>180.133</x:v>
      </x:c>
      <x:c r="H64" s="17" t="n">
        <x:f>G64*F64</x:f>
        <x:v>1621.1970000000001</x:v>
      </x:c>
      <x:c r="I64" s="22" t="str">
        <x:f>HYPERLINK("https://etp-aktiv.ru/catalog/materialy/himicheskaya-produkciya/2000528321-U411/","Открыть позицию")</x:f>
        <x:v>Открыть позицию</x:v>
      </x:c>
    </x:row>
    <x:row r="65" ht="28" customHeight="1">
      <x:c r="A65" s="16" t="str">
        <x:v>Томь-Усинская ГРЭС</x:v>
      </x:c>
      <x:c r="B65" s="16" t="str">
        <x:v>2000547608-U111</x:v>
      </x:c>
      <x:c r="C65" s="16" t="str">
        <x:v>ГРАФИТ ГК-3 ГОСТ4404-78</x:v>
      </x:c>
      <x:c r="D65" s="16" t="str">
        <x:v>Химические материалы прочие</x:v>
      </x:c>
      <x:c r="E65" s="16" t="str">
        <x:v>КГ</x:v>
      </x:c>
      <x:c r="F65" s="21" t="n">
        <x:v>43</x:v>
      </x:c>
      <x:c r="G65" s="17" t="n">
        <x:v>277.5012</x:v>
      </x:c>
      <x:c r="H65" s="17" t="n">
        <x:f>G65*F65</x:f>
        <x:v>11932.551599999999</x:v>
      </x:c>
      <x:c r="I65" s="22" t="str">
        <x:f>HYPERLINK("https://etp-aktiv.ru/catalog/materialy/himicheskaya-produkciya/2000547608-U111/","Открыть позицию")</x:f>
        <x:v>Открыть позицию</x:v>
      </x:c>
    </x:row>
    <x:row r="66" ht="28" customHeight="1">
      <x:c r="A66" s="16" t="str">
        <x:v>Томь-Усинская ГРЭС</x:v>
      </x:c>
      <x:c r="B66" s="16" t="str">
        <x:v>2000587386-U111</x:v>
      </x:c>
      <x:c r="C66" s="16" t="str">
        <x:v>ГРАФИТ СМАЗОЧНЫЙ П КГ ГОСТ8295-73</x:v>
      </x:c>
      <x:c r="D66" s="16" t="str">
        <x:v>Химические материалы прочие</x:v>
      </x:c>
      <x:c r="E66" s="16" t="str">
        <x:v>КГ</x:v>
      </x:c>
      <x:c r="F66" s="21" t="n">
        <x:v>28</x:v>
      </x:c>
      <x:c r="G66" s="17" t="n">
        <x:v>312.93</x:v>
      </x:c>
      <x:c r="H66" s="17" t="n">
        <x:f>G66*F66</x:f>
        <x:v>8762.04</x:v>
      </x:c>
      <x:c r="I66" s="22" t="str">
        <x:f>HYPERLINK("https://etp-aktiv.ru/catalog/materialy/himicheskaya-produkciya/2000587386-U111/","Открыть позицию")</x:f>
        <x:v>Открыть позицию</x:v>
      </x:c>
    </x:row>
    <x:row r="67" ht="28" customHeight="1">
      <x:c r="A67" s="16" t="str">
        <x:v>Томь-Усинская ГРЭС</x:v>
      </x:c>
      <x:c r="B67" s="16" t="str">
        <x:v>2000030300-U111</x:v>
      </x:c>
      <x:c r="C67" s="16" t="str">
        <x:v>МАСЛО ИНДУСТРИАЛЬНОЕ И-20А</x:v>
      </x:c>
      <x:c r="D67" s="16" t="str">
        <x:v>Масла и смазки различного назначения и типа</x:v>
      </x:c>
      <x:c r="E67" s="16" t="str">
        <x:v>Т</x:v>
      </x:c>
      <x:c r="F67" s="30" t="n">
        <x:v>0.045</x:v>
      </x:c>
      <x:c r="G67" s="17" t="n">
        <x:v>81435</x:v>
      </x:c>
      <x:c r="H67" s="17" t="n">
        <x:f>G67*F67</x:f>
        <x:v>3664.575</x:v>
      </x:c>
      <x:c r="I67" s="22" t="str">
        <x:f>HYPERLINK("https://etp-aktiv.ru/catalog/materialy/gsm/2000030300-U111/","Открыть позицию")</x:f>
        <x:v>Открыть позицию</x:v>
      </x:c>
    </x:row>
    <x:row r="68" ht="28" customHeight="1">
      <x:c r="A68" s="16" t="str">
        <x:v>Томь-Усинская ГРЭС</x:v>
      </x:c>
      <x:c r="B68" s="16" t="str">
        <x:v>2000848319-U111</x:v>
      </x:c>
      <x:c r="C68" s="16" t="str">
        <x:v>ПИПЕТКА КАПЕЛЬНАЯ 6.3019</x:v>
      </x:c>
      <x:c r="D68" s="16" t="str">
        <x:v>Химическая посуда</x:v>
      </x:c>
      <x:c r="E68" s="16" t="str">
        <x:v>ШТ</x:v>
      </x:c>
      <x:c r="F68" s="21" t="n">
        <x:v>5</x:v>
      </x:c>
      <x:c r="G68" s="17" t="n">
        <x:v>131.76</x:v>
      </x:c>
      <x:c r="H68" s="17" t="n">
        <x:f>G68*F68</x:f>
        <x:v>658.8</x:v>
      </x:c>
      <x:c r="I68" s="22" t="str">
        <x:f>HYPERLINK("https://etp-aktiv.ru/catalog/materialy/mebel-i-bytovaya-tekhnika/2000848319-U111/","Открыть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55337e8391b640f9"/>
  </x:tableParts>
</x:worksheet>
</file>

<file path=xl/worksheets/sheet1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Авто- и спецтехника: запасные части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Беловская ГРЭС</x:v>
      </x:c>
      <x:c r="B5" s="16" t="str">
        <x:v>2000277310-U112</x:v>
      </x:c>
      <x:c r="C5" s="16" t="str">
        <x:v>ЗНАКИ ДОРОЖНЫЕ</x:v>
      </x:c>
      <x:c r="D5" s="16" t="str">
        <x:v>Хозяйственные товары и инвентарь</x:v>
      </x:c>
      <x:c r="E5" s="16" t="str"/>
      <x:c r="F5" s="21" t="n">
        <x:v>19</x:v>
      </x:c>
      <x:c r="G5" s="17" t="n">
        <x:v>1237.5436</x:v>
      </x:c>
      <x:c r="H5" s="17" t="n">
        <x:f>G5*F5</x:f>
        <x:v>23513.3284</x:v>
      </x:c>
      <x:c r="I5" s="22" t="str">
        <x:f>HYPERLINK("https://etp-aktiv.ru/catalog/materialy/hozyajstvennye-tovary-i-inventar/2000277310-U112/","Открыть позицию")</x:f>
        <x:v>Открыть позицию</x:v>
      </x:c>
    </x:row>
    <x:row r="6" ht="28" customHeight="1">
      <x:c r="A6" s="16" t="str">
        <x:v>Беловская ГРЭС</x:v>
      </x:c>
      <x:c r="B6" s="16" t="str">
        <x:v>2000313178-U112</x:v>
      </x:c>
      <x:c r="C6" s="16" t="str">
        <x:v>МАТЕРИАЛ ФИЛЬТРУЮЩИЙ ФВР-150-G3 2*10М</x:v>
      </x:c>
      <x:c r="D6" s="16" t="str">
        <x:v>Запасные части к вентиляционному оборудованию</x:v>
      </x:c>
      <x:c r="E6" s="16" t="str">
        <x:v>ШТ</x:v>
      </x:c>
      <x:c r="F6" s="21" t="n">
        <x:v>5</x:v>
      </x:c>
      <x:c r="G6" s="17" t="n">
        <x:v>4723.23</x:v>
      </x:c>
      <x:c r="H6" s="17" t="n">
        <x:f>G6*F6</x:f>
        <x:v>23616.149999999998</x:v>
      </x:c>
      <x:c r="I6" s="22" t="str">
        <x:f>HYPERLINK("https://etp-aktiv.ru/catalog/materialy/zapasnye-chasti-promyshlennogo-oborudovaniya/2000313178-U112/","Открыть позицию")</x:f>
        <x:v>Открыть позицию</x:v>
      </x:c>
    </x:row>
    <x:row r="7" ht="28" customHeight="1">
      <x:c r="A7" s="16" t="str">
        <x:v>Беловская ГРЭС</x:v>
      </x:c>
      <x:c r="B7" s="16" t="str">
        <x:v>2000529200-U112</x:v>
      </x:c>
      <x:c r="C7" s="16" t="str">
        <x:v>РЕМЕНЬ КЛИНОВОЙ AVX13X900</x:v>
      </x:c>
      <x:c r="D7" s="16" t="str">
        <x:v>Запасные части к автотранспортному оборудованию</x:v>
      </x:c>
      <x:c r="E7" s="16" t="str">
        <x:v>ШТ</x:v>
      </x:c>
      <x:c r="F7" s="21" t="n">
        <x:v>4</x:v>
      </x:c>
      <x:c r="G7" s="17" t="n">
        <x:v>196.42</x:v>
      </x:c>
      <x:c r="H7" s="17" t="n">
        <x:f>G7*F7</x:f>
        <x:v>785.68</x:v>
      </x:c>
      <x:c r="I7" s="22" t="str">
        <x:f>HYPERLINK("https://etp-aktiv.ru/catalog/materialy/zapasnye-chasti-k-avtotransportnomu-oborudovaniyu/2000529200-U112/","Открыть позицию")</x:f>
        <x:v>Открыть позицию</x:v>
      </x:c>
    </x:row>
    <x:row r="8" ht="28" customHeight="1">
      <x:c r="A8" s="16" t="str">
        <x:v>Беловская ГРЭС</x:v>
      </x:c>
      <x:c r="B8" s="16" t="str">
        <x:v>2000001114-U112</x:v>
      </x:c>
      <x:c r="C8" s="16" t="str">
        <x:v>СВЕЧА ЗАЖИГАНИЯ А-11</x:v>
      </x:c>
      <x:c r="D8" s="16" t="str">
        <x:v>Запасные части к автотранспортному оборудованию</x:v>
      </x:c>
      <x:c r="E8" s="16" t="str">
        <x:v>ШТ</x:v>
      </x:c>
      <x:c r="F8" s="21" t="n">
        <x:v>4</x:v>
      </x:c>
      <x:c r="G8" s="17" t="n">
        <x:v>457.5</x:v>
      </x:c>
      <x:c r="H8" s="17" t="n">
        <x:f>G8*F8</x:f>
        <x:v>1830</x:v>
      </x:c>
      <x:c r="I8" s="22" t="str">
        <x:f>HYPERLINK("https://etp-aktiv.ru/catalog/materialy/zapasnye-chasti-k-avtotransportnomu-oborudovaniyu/2000001114-U112/","Открыть позицию")</x:f>
        <x:v>Открыть позицию</x:v>
      </x:c>
    </x:row>
    <x:row r="9" ht="28" customHeight="1">
      <x:c r="A9" s="16" t="str">
        <x:v>Беловская ГРЭС</x:v>
      </x:c>
      <x:c r="B9" s="16" t="str">
        <x:v>2000005600-U112</x:v>
      </x:c>
      <x:c r="C9" s="16" t="str">
        <x:v>ФИЛЬТР ТОПЛИВНЫЙ FS1212</x:v>
      </x:c>
      <x:c r="D9" s="16" t="str">
        <x:v>Фильтры для спецтехники и автотранспорта</x:v>
      </x:c>
      <x:c r="E9" s="16" t="str">
        <x:v>ШТ</x:v>
      </x:c>
      <x:c r="F9" s="21" t="n">
        <x:v>1</x:v>
      </x:c>
      <x:c r="G9" s="17" t="n">
        <x:v>64.843</x:v>
      </x:c>
      <x:c r="H9" s="17" t="n">
        <x:f>G9*F9</x:f>
        <x:v>64.843</x:v>
      </x:c>
      <x:c r="I9" s="22" t="str">
        <x:f>HYPERLINK("https://etp-aktiv.ru/catalog/materialy/zapasnye-chasti-k-avtotransportnomu-oborudovaniyu/2000005600-U112/","Открыть позицию")</x:f>
        <x:v>Открыть позицию</x:v>
      </x:c>
    </x:row>
    <x:row r="10" ht="28" customHeight="1">
      <x:c r="A10" s="16" t="str">
        <x:v>Беловская ГРЭС</x:v>
      </x:c>
      <x:c r="B10" s="16" t="str">
        <x:v>2000385966-U112</x:v>
      </x:c>
      <x:c r="C10" s="16" t="str">
        <x:v>ФИЛЬТР-МЕШОК 6.904-285 5ШТ</x:v>
      </x:c>
      <x:c r="D10" s="16" t="str">
        <x:v>Инструмент и спецоснастка специализированные, нестандартные</x:v>
      </x:c>
      <x:c r="E10" s="16" t="str">
        <x:v>УПК</x:v>
      </x:c>
      <x:c r="F10" s="21" t="n">
        <x:v>12</x:v>
      </x:c>
      <x:c r="G10" s="17" t="n">
        <x:v>3551.3468</x:v>
      </x:c>
      <x:c r="H10" s="17" t="n">
        <x:f>G10*F10</x:f>
        <x:v>42616.1616</x:v>
      </x:c>
      <x:c r="I10" s="22" t="str">
        <x:f>HYPERLINK("https://etp-aktiv.ru/catalog/materialy/instrument-i-specosnastka/2000385966-U112/","Открыть позицию")</x:f>
        <x:v>Открыть позицию</x:v>
      </x:c>
    </x:row>
    <x:row r="11" ht="28" customHeight="1">
      <x:c r="A11" s="16" t="str">
        <x:v>Беловская ГРЭС</x:v>
      </x:c>
      <x:c r="B11" s="16" t="str">
        <x:v>2000457910-U112</x:v>
      </x:c>
      <x:c r="C11" s="16" t="str">
        <x:v>ХОМУТ NORMA 30*45</x:v>
      </x:c>
      <x:c r="D11" s="16" t="str">
        <x:v>Запасные части к автотранспортному оборудованию</x:v>
      </x:c>
      <x:c r="E11" s="16" t="str">
        <x:v>ШТ</x:v>
      </x:c>
      <x:c r="F11" s="21" t="n">
        <x:v>70</x:v>
      </x:c>
      <x:c r="G11" s="17" t="n">
        <x:v>29.9998</x:v>
      </x:c>
      <x:c r="H11" s="17" t="n">
        <x:f>G11*F11</x:f>
        <x:v>2099.986</x:v>
      </x:c>
      <x:c r="I11" s="22" t="str">
        <x:f>HYPERLINK("https://etp-aktiv.ru/catalog/materialy/zapasnye-chasti-k-avtotransportnomu-oborudovaniyu/2000457910-U112/","Открыть позицию")</x:f>
        <x:v>Открыть позицию</x:v>
      </x:c>
    </x:row>
    <x:row r="12" ht="28" customHeight="1">
      <x:c r="A12" s="16" t="str">
        <x:v>Беловская ГРЭС</x:v>
      </x:c>
      <x:c r="B12" s="16" t="str">
        <x:v>2000215360-U112</x:v>
      </x:c>
      <x:c r="C12" s="16" t="str">
        <x:v>ЭЛЕМЕНТ ВОЗД ФИЛЬТРА ОСНОВНОЙ 10343995</x:v>
      </x:c>
      <x:c r="D12" s="16" t="str">
        <x:v>Фильтры для спецтехники и автотранспорта</x:v>
      </x:c>
      <x:c r="E12" s="16" t="str">
        <x:v>ШТ</x:v>
      </x:c>
      <x:c r="F12" s="21" t="n">
        <x:v>1</x:v>
      </x:c>
      <x:c r="G12" s="17" t="n">
        <x:v>3736.25</x:v>
      </x:c>
      <x:c r="H12" s="17" t="n">
        <x:f>G12*F12</x:f>
        <x:v>3736.25</x:v>
      </x:c>
      <x:c r="I12" s="22" t="str">
        <x:f>HYPERLINK("https://etp-aktiv.ru/catalog/materialy/zapasnye-chasti-k-avtotransportnomu-oborudovaniyu/2000215360-U112/","Открыть позицию")</x:f>
        <x:v>Открыть позицию</x:v>
      </x:c>
    </x:row>
    <x:row r="13" ht="28" customHeight="1">
      <x:c r="A13" s="16" t="str">
        <x:v>Кемеровская ГРЭС</x:v>
      </x:c>
      <x:c r="B13" s="16" t="str">
        <x:v>2000155211-U311</x:v>
      </x:c>
      <x:c r="C13" s="16" t="str">
        <x:v>АВТОМАТ АД-12 25А 2P AC</x:v>
      </x:c>
      <x:c r="D13" s="16" t="str">
        <x:v>Низковол апп-ра и ЗЧ</x:v>
      </x:c>
      <x:c r="E13" s="16" t="str">
        <x:v>ШТ</x:v>
      </x:c>
      <x:c r="F13" s="21" t="n">
        <x:v>0</x:v>
      </x:c>
      <x:c r="G13" s="17" t="n">
        <x:v>147.5956</x:v>
      </x:c>
      <x:c r="H13" s="17" t="n">
        <x:f>G13*F13</x:f>
        <x:v>0</x:v>
      </x:c>
      <x:c r="I13" s="22" t="str">
        <x:f>HYPERLINK("https://etp-aktiv.ru/catalog/materialy/nizkovoltnaya-apparatura-i-zapasnye-chasti/2000155211-U311/","Открыть позицию")</x:f>
        <x:v>Открыть позицию</x:v>
      </x:c>
    </x:row>
    <x:row r="14" ht="28" customHeight="1">
      <x:c r="A14" s="16" t="str">
        <x:v>Кемеровская ГРЭС</x:v>
      </x:c>
      <x:c r="B14" s="16" t="str">
        <x:v>2000137968-U311</x:v>
      </x:c>
      <x:c r="C14" s="16" t="str">
        <x:v>АВТОМАТ ВА 47-29 6А 3P C</x:v>
      </x:c>
      <x:c r="D14" s="16" t="str">
        <x:v>Низковол апп-ра и ЗЧ</x:v>
      </x:c>
      <x:c r="E14" s="16" t="str">
        <x:v>ШТ</x:v>
      </x:c>
      <x:c r="F14" s="21" t="n">
        <x:v>0</x:v>
      </x:c>
      <x:c r="G14" s="17" t="n">
        <x:v>52.4234</x:v>
      </x:c>
      <x:c r="H14" s="17" t="n">
        <x:f>G14*F14</x:f>
        <x:v>0</x:v>
      </x:c>
      <x:c r="I14" s="22" t="str">
        <x:f>HYPERLINK("https://etp-aktiv.ru/catalog/materialy/nizkovoltnaya-apparatura-i-zapasnye-chasti/2000137968-U311/","Открыть позицию")</x:f>
        <x:v>Открыть позицию</x:v>
      </x:c>
    </x:row>
    <x:row r="15" ht="28" customHeight="1">
      <x:c r="A15" s="16" t="str">
        <x:v>Кемеровская ГРЭС</x:v>
      </x:c>
      <x:c r="B15" s="16" t="str">
        <x:v>2000002248-U311</x:v>
      </x:c>
      <x:c r="C15" s="16" t="str">
        <x:v>АВТОМАТ ВА 47-29 8А 1P С</x:v>
      </x:c>
      <x:c r="D15" s="16" t="str">
        <x:v>Низковол апп-ра и ЗЧ</x:v>
      </x:c>
      <x:c r="E15" s="16" t="str">
        <x:v>ШТ</x:v>
      </x:c>
      <x:c r="F15" s="21" t="n">
        <x:v>1</x:v>
      </x:c>
      <x:c r="G15" s="17" t="n">
        <x:v>24.948999999999998</x:v>
      </x:c>
      <x:c r="H15" s="17" t="n">
        <x:f>G15*F15</x:f>
        <x:v>24.948999999999998</x:v>
      </x:c>
      <x:c r="I15" s="22" t="str">
        <x:f>HYPERLINK("https://etp-aktiv.ru/catalog/materialy/nizkovoltnaya-apparatura-i-zapasnye-chasti/2000002248-U311/","Открыть позицию")</x:f>
        <x:v>Открыть позицию</x:v>
      </x:c>
    </x:row>
    <x:row r="16" ht="28" customHeight="1">
      <x:c r="A16" s="16" t="str">
        <x:v>Кемеровская ТЭЦ</x:v>
      </x:c>
      <x:c r="B16" s="16" t="str">
        <x:v>2000011529-U312</x:v>
      </x:c>
      <x:c r="C16" s="16" t="str">
        <x:v>ВАЛ КАРДАННЫЙ 131-2205011</x:v>
      </x:c>
      <x:c r="D16" s="16" t="str">
        <x:v>Запасные части к автотранспортному оборудованию</x:v>
      </x:c>
      <x:c r="E16" s="16" t="str">
        <x:v>ШТ</x:v>
      </x:c>
      <x:c r="F16" s="21" t="n">
        <x:v>1</x:v>
      </x:c>
      <x:c r="G16" s="17" t="n">
        <x:v>10705.5</x:v>
      </x:c>
      <x:c r="H16" s="17" t="n">
        <x:f>G16*F16</x:f>
        <x:v>10705.5</x:v>
      </x:c>
      <x:c r="I16" s="22" t="str">
        <x:f>HYPERLINK("https://etp-aktiv.ru/catalog/materialy/zapasnye-chasti-k-avtotransportnomu-oborudovaniyu/2000011529-U312/","Открыть позицию")</x:f>
        <x:v>Открыть позицию</x:v>
      </x:c>
    </x:row>
    <x:row r="17" ht="28" customHeight="1">
      <x:c r="A17" s="16" t="str">
        <x:v>Кемеровская ТЭЦ</x:v>
      </x:c>
      <x:c r="B17" s="16" t="str">
        <x:v>2000277318-U312</x:v>
      </x:c>
      <x:c r="C17" s="16" t="str">
        <x:v>КОВРЫ И ИЗДЕЛИЯ КОВРОВ, ДОРОЖКИ НАПОЛЬН</x:v>
      </x:c>
      <x:c r="D17" s="16" t="str">
        <x:v>Хозяйственные товары и инвентарь Маркетплейс</x:v>
      </x:c>
      <x:c r="E17" s="16" t="str"/>
      <x:c r="F17" s="21" t="n">
        <x:v>33</x:v>
      </x:c>
      <x:c r="G17" s="17" t="n">
        <x:v>866.7856</x:v>
      </x:c>
      <x:c r="H17" s="17" t="n">
        <x:f>G17*F17</x:f>
        <x:v>28603.9248</x:v>
      </x:c>
      <x:c r="I17" s="22" t="str">
        <x:f>HYPERLINK("https://etp-aktiv.ru/catalog/materialy/hozyajstvennye-tovary-i-inventar/2000277318-U312/","Открыть позицию")</x:f>
        <x:v>Открыть позицию</x:v>
      </x:c>
    </x:row>
    <x:row r="18" ht="28" customHeight="1">
      <x:c r="A18" s="16" t="str">
        <x:v>Кемеровская ТЭЦ</x:v>
      </x:c>
      <x:c r="B18" s="16" t="str">
        <x:v>2000247370-U312</x:v>
      </x:c>
      <x:c r="C18" s="16" t="str">
        <x:v>ФИЛЬТ МАСЛЯНЫЙ DOOSAN 65.05510-5021B</x:v>
      </x:c>
      <x:c r="D18" s="16" t="str">
        <x:v>Фильтры для спецтехники и автотранспорта</x:v>
      </x:c>
      <x:c r="E18" s="16" t="str">
        <x:v>ШТ</x:v>
      </x:c>
      <x:c r="F18" s="21" t="n">
        <x:v>4</x:v>
      </x:c>
      <x:c r="G18" s="17" t="n">
        <x:v>960.75</x:v>
      </x:c>
      <x:c r="H18" s="17" t="n">
        <x:f>G18*F18</x:f>
        <x:v>3843</x:v>
      </x:c>
      <x:c r="I18" s="22" t="str">
        <x:f>HYPERLINK("https://etp-aktiv.ru/catalog/materialy/zapasnye-chasti-k-avtotransportnomu-oborudovaniyu/2000247370-U312/","Открыть позицию")</x:f>
        <x:v>Открыть позицию</x:v>
      </x:c>
    </x:row>
    <x:row r="19" ht="28" customHeight="1">
      <x:c r="A19" s="16" t="str">
        <x:v>Кемеровская ТЭЦ</x:v>
      </x:c>
      <x:c r="B19" s="16" t="str">
        <x:v>2000004968-U312</x:v>
      </x:c>
      <x:c r="C19" s="16" t="str">
        <x:v>ФИЛЬТР ВОЗДУШНЫЙ 740-1109560-10</x:v>
      </x:c>
      <x:c r="D19" s="16" t="str">
        <x:v>Фильтры для спецтехники и автотранспорта</x:v>
      </x:c>
      <x:c r="E19" s="16" t="str">
        <x:v>ШТ</x:v>
      </x:c>
      <x:c r="F19" s="21" t="n">
        <x:v>1</x:v>
      </x:c>
      <x:c r="G19" s="17" t="n">
        <x:v>1171.2976</x:v>
      </x:c>
      <x:c r="H19" s="17" t="n">
        <x:f>G19*F19</x:f>
        <x:v>1171.2976</x:v>
      </x:c>
      <x:c r="I19" s="22" t="str">
        <x:f>HYPERLINK("https://etp-aktiv.ru/catalog/materialy/zapasnye-chasti-k-avtotransportnomu-oborudovaniyu/2000004968-U312/","Открыть позицию")</x:f>
        <x:v>Открыть позицию</x:v>
      </x:c>
    </x:row>
    <x:row r="20" ht="28" customHeight="1">
      <x:c r="A20" s="16" t="str">
        <x:v>Кемеровская ТЭЦ</x:v>
      </x:c>
      <x:c r="B20" s="16" t="str">
        <x:v>2000319597-U312</x:v>
      </x:c>
      <x:c r="C20" s="16" t="str">
        <x:v>ФИЛЬТР ВОЗДУШНЫЙ ФП207.1-03/02</x:v>
      </x:c>
      <x:c r="D20" s="16" t="str">
        <x:v>Фильтры для спецтехники и автотранспорта</x:v>
      </x:c>
      <x:c r="E20" s="16" t="str">
        <x:v>ШТ</x:v>
      </x:c>
      <x:c r="F20" s="21" t="n">
        <x:v>1</x:v>
      </x:c>
      <x:c r="G20" s="17" t="n">
        <x:v>1501.0636000000002</x:v>
      </x:c>
      <x:c r="H20" s="17" t="n">
        <x:f>G20*F20</x:f>
        <x:v>1501.0636000000002</x:v>
      </x:c>
      <x:c r="I20" s="22" t="str">
        <x:f>HYPERLINK("https://etp-aktiv.ru/catalog/materialy/zapasnye-chasti-k-avtotransportnomu-oborudovaniyu/2000319597-U312/","Открыть позицию")</x:f>
        <x:v>Открыть позицию</x:v>
      </x:c>
    </x:row>
    <x:row r="21" ht="28" customHeight="1">
      <x:c r="A21" s="16" t="str">
        <x:v>Кемеровская ТЭЦ</x:v>
      </x:c>
      <x:c r="B21" s="16" t="str">
        <x:v>2000331371-U312</x:v>
      </x:c>
      <x:c r="C21" s="16" t="str">
        <x:v>ФИЛЬТР ТОПЛИВНЫЙ Т/ОЧИСТК 320/07394</x:v>
      </x:c>
      <x:c r="D21" s="16" t="str">
        <x:v>Фильтры для спецтехники и автотранспорта</x:v>
      </x:c>
      <x:c r="E21" s="16" t="str">
        <x:v>ШТ</x:v>
      </x:c>
      <x:c r="F21" s="21" t="n">
        <x:v>4</x:v>
      </x:c>
      <x:c r="G21" s="17" t="n">
        <x:v>305</x:v>
      </x:c>
      <x:c r="H21" s="17" t="n">
        <x:f>G21*F21</x:f>
        <x:v>1220</x:v>
      </x:c>
      <x:c r="I21" s="22" t="str">
        <x:f>HYPERLINK("https://etp-aktiv.ru/catalog/materialy/zapasnye-chasti-k-avtotransportnomu-oborudovaniyu/2000331371-U312/","Открыть позицию")</x:f>
        <x:v>Открыть позицию</x:v>
      </x:c>
    </x:row>
    <x:row r="22" ht="28" customHeight="1">
      <x:c r="A22" s="16" t="str">
        <x:v>Кемеровская теплосетевая компания</x:v>
      </x:c>
      <x:c r="B22" s="16" t="str">
        <x:v>2000080569-U121</x:v>
      </x:c>
      <x:c r="C22" s="16" t="str">
        <x:v>АВТОЭМАЛЬ SADOLIN N303 ХАКИ</x:v>
      </x:c>
      <x:c r="D22" s="16" t="str">
        <x:v>Лакокрасочные материалы</x:v>
      </x:c>
      <x:c r="E22" s="16" t="str">
        <x:v>Л</x:v>
      </x:c>
      <x:c r="F22" s="29" t="n">
        <x:v>6.75</x:v>
      </x:c>
      <x:c r="G22" s="17" t="n">
        <x:v>427.7686</x:v>
      </x:c>
      <x:c r="H22" s="17" t="n">
        <x:f>G22*F22</x:f>
        <x:v>2887.4380499999997</x:v>
      </x:c>
      <x:c r="I22" s="22" t="str">
        <x:f>HYPERLINK("https://etp-aktiv.ru/catalog/materialy/lakokrasochnye-materialy/2000080569-U121/","Открыть позицию")</x:f>
        <x:v>Открыть позицию</x:v>
      </x:c>
    </x:row>
    <x:row r="23" ht="28" customHeight="1">
      <x:c r="A23" s="16" t="str">
        <x:v>Кемеровская теплосетевая компания</x:v>
      </x:c>
      <x:c r="B23" s="16" t="str">
        <x:v>2000142745-U121</x:v>
      </x:c>
      <x:c r="C23" s="16" t="str">
        <x:v>ДИСК СЦЕПЛЕНИЯ 53-11-1601130</x:v>
      </x:c>
      <x:c r="D23" s="16" t="str">
        <x:v>Запасные части к автотранспортному оборудованию</x:v>
      </x:c>
      <x:c r="E23" s="16" t="str">
        <x:v>ШТ</x:v>
      </x:c>
      <x:c r="F23" s="21" t="n">
        <x:v>1</x:v>
      </x:c>
      <x:c r="G23" s="17" t="n">
        <x:v>1332.85</x:v>
      </x:c>
      <x:c r="H23" s="17" t="n">
        <x:f>G23*F23</x:f>
        <x:v>1332.85</x:v>
      </x:c>
      <x:c r="I23" s="22" t="str">
        <x:f>HYPERLINK("https://etp-aktiv.ru/catalog/materialy/zapasnye-chasti-k-avtotransportnomu-oborudovaniyu/2000142745-U121/","Открыть позицию")</x:f>
        <x:v>Открыть позицию</x:v>
      </x:c>
    </x:row>
    <x:row r="24" ht="28" customHeight="1">
      <x:c r="A24" s="16" t="str">
        <x:v>Кемеровская теплосетевая компания</x:v>
      </x:c>
      <x:c r="B24" s="16" t="str">
        <x:v>2000925902-U121</x:v>
      </x:c>
      <x:c r="C24" s="16" t="str">
        <x:v>КОЛЬЦО СТОПОРНОЕ 2С90 915219 МТЗ</x:v>
      </x:c>
      <x:c r="D24" s="16" t="str">
        <x:v>Запасные части к автотранспортному оборудованию</x:v>
      </x:c>
      <x:c r="E24" s="16" t="str">
        <x:v>ШТ</x:v>
      </x:c>
      <x:c r="F24" s="21" t="n">
        <x:v>1</x:v>
      </x:c>
      <x:c r="G24" s="17" t="n">
        <x:v>67.1</x:v>
      </x:c>
      <x:c r="H24" s="17" t="n">
        <x:f>G24*F24</x:f>
        <x:v>67.1</x:v>
      </x:c>
      <x:c r="I24" s="22" t="str">
        <x:f>HYPERLINK("https://etp-aktiv.ru/catalog/materialy/zapasnye-chasti-k-avtotransportnomu-oborudovaniyu/2000925902-U121/","Открыть позицию")</x:f>
        <x:v>Открыть позицию</x:v>
      </x:c>
    </x:row>
    <x:row r="25" ht="28" customHeight="1">
      <x:c r="A25" s="16" t="str">
        <x:v>Кемеровская теплосетевая компания</x:v>
      </x:c>
      <x:c r="B25" s="16" t="str">
        <x:v>2000331406-U121</x:v>
      </x:c>
      <x:c r="C25" s="16" t="str">
        <x:v>КОРЗИНА СЦЕПЛЕНИЯ 4301-1601090-20</x:v>
      </x:c>
      <x:c r="D25" s="16" t="str">
        <x:v>Запасные части к автотранспортному оборудованию</x:v>
      </x:c>
      <x:c r="E25" s="16" t="str">
        <x:v>ШТ</x:v>
      </x:c>
      <x:c r="F25" s="21" t="n">
        <x:v>1</x:v>
      </x:c>
      <x:c r="G25" s="17" t="n">
        <x:v>5337.5</x:v>
      </x:c>
      <x:c r="H25" s="17" t="n">
        <x:f>G25*F25</x:f>
        <x:v>5337.5</x:v>
      </x:c>
      <x:c r="I25" s="22" t="str">
        <x:f>HYPERLINK("https://etp-aktiv.ru/catalog/materialy/zapasnye-chasti-k-avtotransportnomu-oborudovaniyu/2000331406-U121/","Открыть позицию")</x:f>
        <x:v>Открыть позицию</x:v>
      </x:c>
    </x:row>
    <x:row r="26" ht="28" customHeight="1">
      <x:c r="A26" s="16" t="str">
        <x:v>Кемеровская теплосетевая компания</x:v>
      </x:c>
      <x:c r="B26" s="16" t="str">
        <x:v>2000008771-U121</x:v>
      </x:c>
      <x:c r="C26" s="16" t="str">
        <x:v>КРАН ТОРМОЗНОЙ РУЧ ДЕЙСТВИЯ 100-3537010</x:v>
      </x:c>
      <x:c r="D26" s="16" t="str">
        <x:v>Запасные части к автотранспортному оборудованию</x:v>
      </x:c>
      <x:c r="E26" s="16" t="str">
        <x:v>ШТ</x:v>
      </x:c>
      <x:c r="F26" s="21" t="n">
        <x:v>2</x:v>
      </x:c>
      <x:c r="G26" s="17" t="n">
        <x:v>973.4623999999999</x:v>
      </x:c>
      <x:c r="H26" s="17" t="n">
        <x:f>G26*F26</x:f>
        <x:v>1946.9247999999998</x:v>
      </x:c>
      <x:c r="I26" s="22" t="str">
        <x:f>HYPERLINK("https://etp-aktiv.ru/catalog/materialy/zapasnye-chasti-k-avtotransportnomu-oborudovaniyu/2000008771-U121/","Открыть позицию")</x:f>
        <x:v>Открыть позицию</x:v>
      </x:c>
    </x:row>
    <x:row r="27" ht="28" customHeight="1">
      <x:c r="A27" s="16" t="str">
        <x:v>Кемеровская теплосетевая компания</x:v>
      </x:c>
      <x:c r="B27" s="16" t="str">
        <x:v>2000587938-U121</x:v>
      </x:c>
      <x:c r="C27" s="16" t="str">
        <x:v>ПАКЕТ Д/УСТАНОВКИ СТЕКЛА 12204860</x:v>
      </x:c>
      <x:c r="D27" s="16" t="str">
        <x:v>Запасные части к карьерной технике Liebherr</x:v>
      </x:c>
      <x:c r="E27" s="16" t="str">
        <x:v>ШТ</x:v>
      </x:c>
      <x:c r="F27" s="21" t="n">
        <x:v>1</x:v>
      </x:c>
      <x:c r="G27" s="17" t="n">
        <x:v>4220.4436</x:v>
      </x:c>
      <x:c r="H27" s="17" t="n">
        <x:f>G27*F27</x:f>
        <x:v>4220.4436</x:v>
      </x:c>
      <x:c r="I27" s="22" t="str">
        <x:f>HYPERLINK("https://etp-aktiv.ru/catalog/materialy/zapasnye-chasti-k-dorozhno-stroitelnoj-tekhnike/2000587938-U121/","Открыть позицию")</x:f>
        <x:v>Открыть позицию</x:v>
      </x:c>
    </x:row>
    <x:row r="28" ht="28" customHeight="1">
      <x:c r="A28" s="16" t="str">
        <x:v>Кемеровская теплосетевая компания</x:v>
      </x:c>
      <x:c r="B28" s="16" t="str">
        <x:v>2000148323-U121</x:v>
      </x:c>
      <x:c r="C28" s="16" t="str">
        <x:v>РАДИАТОР 3741-1301010-04</x:v>
      </x:c>
      <x:c r="D28" s="16" t="str">
        <x:v>Запасные части к автотранспортному оборудованию</x:v>
      </x:c>
      <x:c r="E28" s="16" t="str">
        <x:v>ШТ</x:v>
      </x:c>
      <x:c r="F28" s="21" t="n">
        <x:v>1</x:v>
      </x:c>
      <x:c r="G28" s="17" t="n">
        <x:v>5768.3063999999995</x:v>
      </x:c>
      <x:c r="H28" s="17" t="n">
        <x:f>G28*F28</x:f>
        <x:v>5768.3063999999995</x:v>
      </x:c>
      <x:c r="I28" s="22" t="str">
        <x:f>HYPERLINK("https://etp-aktiv.ru/catalog/materialy/zapasnye-chasti-k-avtotransportnomu-oborudovaniyu/2000148323-U121/","Открыть позицию")</x:f>
        <x:v>Открыть позицию</x:v>
      </x:c>
    </x:row>
    <x:row r="29" ht="28" customHeight="1">
      <x:c r="A29" s="16" t="str">
        <x:v>Кемеровская теплосетевая компания</x:v>
      </x:c>
      <x:c r="B29" s="16" t="str">
        <x:v>2000161543-U121</x:v>
      </x:c>
      <x:c r="C29" s="16" t="str">
        <x:v>РАДИАТОР ОТОПИТЕЛЯ 3307-8101060</x:v>
      </x:c>
      <x:c r="D29" s="16" t="str">
        <x:v>Запасные части к автотранспортному оборудованию</x:v>
      </x:c>
      <x:c r="E29" s="16" t="str">
        <x:v>ШТ</x:v>
      </x:c>
      <x:c r="F29" s="21" t="n">
        <x:v>3</x:v>
      </x:c>
      <x:c r="G29" s="17" t="n">
        <x:v>2359.5897999999997</x:v>
      </x:c>
      <x:c r="H29" s="17" t="n">
        <x:f>G29*F29</x:f>
        <x:v>7078.769399999999</x:v>
      </x:c>
      <x:c r="I29" s="22" t="str">
        <x:f>HYPERLINK("https://etp-aktiv.ru/catalog/materialy/zapasnye-chasti-k-avtotransportnomu-oborudovaniyu/2000161543-U121/","Открыть позицию")</x:f>
        <x:v>Открыть позицию</x:v>
      </x:c>
    </x:row>
    <x:row r="30" ht="28" customHeight="1">
      <x:c r="A30" s="16" t="str">
        <x:v>Кемеровская теплосетевая компания</x:v>
      </x:c>
      <x:c r="B30" s="16" t="str">
        <x:v>2000158236-U121</x:v>
      </x:c>
      <x:c r="C30" s="16" t="str">
        <x:v>РЕГУЛЯТОР НАПРЯЖЕНИЯ 7302.3702</x:v>
      </x:c>
      <x:c r="D30" s="16" t="str">
        <x:v>Запасные части к автотранспортному оборудованию</x:v>
      </x:c>
      <x:c r="E30" s="16" t="str">
        <x:v>ШТ</x:v>
      </x:c>
      <x:c r="F30" s="21" t="n">
        <x:v>1</x:v>
      </x:c>
      <x:c r="G30" s="17" t="n">
        <x:v>152.5</x:v>
      </x:c>
      <x:c r="H30" s="17" t="n">
        <x:f>G30*F30</x:f>
        <x:v>152.5</x:v>
      </x:c>
      <x:c r="I30" s="22" t="str">
        <x:f>HYPERLINK("https://etp-aktiv.ru/catalog/materialy/zapasnye-chasti-k-avtotransportnomu-oborudovaniyu/2000158236-U121/","Открыть позицию")</x:f>
        <x:v>Открыть позицию</x:v>
      </x:c>
    </x:row>
    <x:row r="31" ht="28" customHeight="1">
      <x:c r="A31" s="16" t="str">
        <x:v>Кемеровская теплосетевая компания</x:v>
      </x:c>
      <x:c r="B31" s="16" t="str">
        <x:v>2000529455-U121</x:v>
      </x:c>
      <x:c r="C31" s="16" t="str">
        <x:v>РЕГУЛЯТОР НАПРЯЖЕНИЯ Я212А11Е</x:v>
      </x:c>
      <x:c r="D31" s="16" t="str">
        <x:v>Запасные части к автотранспортному оборудованию</x:v>
      </x:c>
      <x:c r="E31" s="16" t="str">
        <x:v>ШТ</x:v>
      </x:c>
      <x:c r="F31" s="21" t="n">
        <x:v>2</x:v>
      </x:c>
      <x:c r="G31" s="17" t="n">
        <x:v>137.25</x:v>
      </x:c>
      <x:c r="H31" s="17" t="n">
        <x:f>G31*F31</x:f>
        <x:v>274.5</x:v>
      </x:c>
      <x:c r="I31" s="22" t="str">
        <x:f>HYPERLINK("https://etp-aktiv.ru/catalog/materialy/zapasnye-chasti-k-avtotransportnomu-oborudovaniyu/2000529455-U121/","Открыть позицию")</x:f>
        <x:v>Открыть позицию</x:v>
      </x:c>
    </x:row>
    <x:row r="32" ht="28" customHeight="1">
      <x:c r="A32" s="16" t="str">
        <x:v>Кемеровская теплосетевая компания</x:v>
      </x:c>
      <x:c r="B32" s="16" t="str">
        <x:v>2000575031-U121</x:v>
      </x:c>
      <x:c r="C32" s="16" t="str">
        <x:v>СТУПИЦА КОЛЕСА ПЕРЕДНЯЯ 23107-3103013</x:v>
      </x:c>
      <x:c r="D32" s="16" t="str">
        <x:v>Запасные части к автотранспортному оборудованию</x:v>
      </x:c>
      <x:c r="E32" s="16" t="str">
        <x:v>ШТ</x:v>
      </x:c>
      <x:c r="F32" s="21" t="n">
        <x:v>1</x:v>
      </x:c>
      <x:c r="G32" s="17" t="n">
        <x:v>6313.5</x:v>
      </x:c>
      <x:c r="H32" s="17" t="n">
        <x:f>G32*F32</x:f>
        <x:v>6313.5</x:v>
      </x:c>
      <x:c r="I32" s="22" t="str">
        <x:f>HYPERLINK("https://etp-aktiv.ru/catalog/materialy/zapasnye-chasti-k-avtotransportnomu-oborudovaniyu/2000575031-U121/","Открыть позицию")</x:f>
        <x:v>Открыть позицию</x:v>
      </x:c>
    </x:row>
    <x:row r="33" ht="28" customHeight="1">
      <x:c r="A33" s="16" t="str">
        <x:v>Кемеровская теплосетевая компания</x:v>
      </x:c>
      <x:c r="B33" s="16" t="str">
        <x:v>2000528929-U121</x:v>
      </x:c>
      <x:c r="C33" s="16" t="str">
        <x:v>ТЯГА РУЛЕВАЯПРОДОЛЬНАЯ 5301-3414010-10</x:v>
      </x:c>
      <x:c r="D33" s="16" t="str">
        <x:v>Запасные части к автотранспортному оборудованию</x:v>
      </x:c>
      <x:c r="E33" s="16" t="str">
        <x:v>ШТ</x:v>
      </x:c>
      <x:c r="F33" s="21" t="n">
        <x:v>1</x:v>
      </x:c>
      <x:c r="G33" s="17" t="n">
        <x:v>2529.975</x:v>
      </x:c>
      <x:c r="H33" s="17" t="n">
        <x:f>G33*F33</x:f>
        <x:v>2529.975</x:v>
      </x:c>
      <x:c r="I33" s="22" t="str">
        <x:f>HYPERLINK("https://etp-aktiv.ru/catalog/materialy/zapasnye-chasti-k-avtotransportnomu-oborudovaniyu/2000528929-U121/","Открыть позицию")</x:f>
        <x:v>Открыть позицию</x:v>
      </x:c>
    </x:row>
    <x:row r="34" ht="28" customHeight="1">
      <x:c r="A34" s="16" t="str">
        <x:v>Кемеровская теплосетевая компания</x:v>
      </x:c>
      <x:c r="B34" s="16" t="str">
        <x:v>2000010040-U121</x:v>
      </x:c>
      <x:c r="C34" s="16" t="str">
        <x:v>УСИЛИТЕЛЬ ТОРМОЗОВ 53-12-3550010</x:v>
      </x:c>
      <x:c r="D34" s="16" t="str">
        <x:v>Запасные части к автотранспортному оборудованию</x:v>
      </x:c>
      <x:c r="E34" s="16" t="str">
        <x:v>ШТ</x:v>
      </x:c>
      <x:c r="F34" s="21" t="n">
        <x:v>1</x:v>
      </x:c>
      <x:c r="G34" s="17" t="n">
        <x:v>4254.75</x:v>
      </x:c>
      <x:c r="H34" s="17" t="n">
        <x:f>G34*F34</x:f>
        <x:v>4254.75</x:v>
      </x:c>
      <x:c r="I34" s="22" t="str">
        <x:f>HYPERLINK("https://etp-aktiv.ru/catalog/materialy/zapasnye-chasti-k-avtotransportnomu-oborudovaniyu/2000010040-U121/","Открыть позицию")</x:f>
        <x:v>Открыть позицию</x:v>
      </x:c>
    </x:row>
    <x:row r="35" ht="28" customHeight="1">
      <x:c r="A35" s="16" t="str">
        <x:v>Кемеровская теплосетевая компания</x:v>
      </x:c>
      <x:c r="B35" s="16" t="str">
        <x:v>2000698937-U121</x:v>
      </x:c>
      <x:c r="C35" s="16" t="str">
        <x:v>ФИЛЬТР ВОЗДУШНЫЙ 245-1109013-20</x:v>
      </x:c>
      <x:c r="D35" s="16" t="str">
        <x:v>Фильтры для спецтехники и автотранспорта</x:v>
      </x:c>
      <x:c r="E35" s="16" t="str">
        <x:v>ШТ</x:v>
      </x:c>
      <x:c r="F35" s="21" t="n">
        <x:v>1</x:v>
      </x:c>
      <x:c r="G35" s="17" t="n">
        <x:v>598.41</x:v>
      </x:c>
      <x:c r="H35" s="17" t="n">
        <x:f>G35*F35</x:f>
        <x:v>598.41</x:v>
      </x:c>
      <x:c r="I35" s="22" t="str">
        <x:f>HYPERLINK("https://etp-aktiv.ru/catalog/materialy/zapasnye-chasti-k-avtotransportnomu-oborudovaniyu/2000698937-U121/","Открыть позицию")</x:f>
        <x:v>Открыть позицию</x:v>
      </x:c>
    </x:row>
    <x:row r="36" ht="28" customHeight="1">
      <x:c r="A36" s="16" t="str">
        <x:v>Кемеровская теплосетевая компания</x:v>
      </x:c>
      <x:c r="B36" s="16" t="str">
        <x:v>2000380737-U121</x:v>
      </x:c>
      <x:c r="C36" s="16" t="str">
        <x:v>ФИЛЬТР ВОЗДУШНЫЙ P822769</x:v>
      </x:c>
      <x:c r="D36" s="16" t="str">
        <x:v>Фильтры для спецтехники и автотранспорта</x:v>
      </x:c>
      <x:c r="E36" s="16" t="str">
        <x:v>ШТ</x:v>
      </x:c>
      <x:c r="F36" s="21" t="n">
        <x:v>1</x:v>
      </x:c>
      <x:c r="G36" s="17" t="n">
        <x:v>982.1</x:v>
      </x:c>
      <x:c r="H36" s="17" t="n">
        <x:f>G36*F36</x:f>
        <x:v>982.1</x:v>
      </x:c>
      <x:c r="I36" s="22" t="str">
        <x:f>HYPERLINK("https://etp-aktiv.ru/catalog/materialy/zapasnye-chasti-k-avtotransportnomu-oborudovaniyu/2000380737-U121/","Открыть позицию")</x:f>
        <x:v>Открыть позицию</x:v>
      </x:c>
    </x:row>
    <x:row r="37" ht="28" customHeight="1">
      <x:c r="A37" s="16" t="str">
        <x:v>Кемеровская теплосетевая компания</x:v>
      </x:c>
      <x:c r="B37" s="16" t="str">
        <x:v>2000465178-U121</x:v>
      </x:c>
      <x:c r="C37" s="16" t="str">
        <x:v>ФИЛЬТР ВОЗДУШНЫЙ Т150-1109560</x:v>
      </x:c>
      <x:c r="D37" s="16" t="str">
        <x:v>Фильтры для спецтехники и автотранспорта</x:v>
      </x:c>
      <x:c r="E37" s="16" t="str">
        <x:v>ШТ</x:v>
      </x:c>
      <x:c r="F37" s="21" t="n">
        <x:v>2</x:v>
      </x:c>
      <x:c r="G37" s="17" t="n">
        <x:v>526.125</x:v>
      </x:c>
      <x:c r="H37" s="17" t="n">
        <x:f>G37*F37</x:f>
        <x:v>1052.25</x:v>
      </x:c>
      <x:c r="I37" s="22" t="str">
        <x:f>HYPERLINK("https://etp-aktiv.ru/catalog/materialy/zapasnye-chasti-k-avtotransportnomu-oborudovaniyu/2000465178-U121/","Открыть позицию")</x:f>
        <x:v>Открыть позицию</x:v>
      </x:c>
    </x:row>
    <x:row r="38" ht="28" customHeight="1">
      <x:c r="A38" s="16" t="str">
        <x:v>Кемеровская теплосетевая компания</x:v>
      </x:c>
      <x:c r="B38" s="16" t="str">
        <x:v>2000523537-U121</x:v>
      </x:c>
      <x:c r="C38" s="16" t="str">
        <x:v>ФИЛЬТР МАСЛЯНЫЙ 12163-82301</x:v>
      </x:c>
      <x:c r="D38" s="16" t="str">
        <x:v>Фильтры для спецтехники и автотранспорта</x:v>
      </x:c>
      <x:c r="E38" s="16" t="str">
        <x:v>ШТ</x:v>
      </x:c>
      <x:c r="F38" s="21" t="n">
        <x:v>1</x:v>
      </x:c>
      <x:c r="G38" s="17" t="n">
        <x:v>477.325</x:v>
      </x:c>
      <x:c r="H38" s="17" t="n">
        <x:f>G38*F38</x:f>
        <x:v>477.325</x:v>
      </x:c>
      <x:c r="I38" s="22" t="str">
        <x:f>HYPERLINK("https://etp-aktiv.ru/catalog/materialy/zapasnye-chasti-k-avtotransportnomu-oborudovaniyu/2000523537-U121/","Открыть позицию")</x:f>
        <x:v>Открыть позицию</x:v>
      </x:c>
    </x:row>
    <x:row r="39" ht="28" customHeight="1">
      <x:c r="A39" s="16" t="str">
        <x:v>Кемеровская теплосетевая компания</x:v>
      </x:c>
      <x:c r="B39" s="16" t="str">
        <x:v>2000001825-U121</x:v>
      </x:c>
      <x:c r="C39" s="16" t="str">
        <x:v>ФИЛЬТР МАСЛЯНЫЙ 53-1012040</x:v>
      </x:c>
      <x:c r="D39" s="16" t="str">
        <x:v>Фильтры для спецтехники и автотранспорта</x:v>
      </x:c>
      <x:c r="E39" s="16" t="str">
        <x:v>ШТ</x:v>
      </x:c>
      <x:c r="F39" s="21" t="n">
        <x:v>3</x:v>
      </x:c>
      <x:c r="G39" s="17" t="n">
        <x:v>181.0968</x:v>
      </x:c>
      <x:c r="H39" s="17" t="n">
        <x:f>G39*F39</x:f>
        <x:v>543.2904</x:v>
      </x:c>
      <x:c r="I39" s="22" t="str">
        <x:f>HYPERLINK("https://etp-aktiv.ru/catalog/materialy/zapasnye-chasti-k-avtotransportnomu-oborudovaniyu/2000001825-U121/","Открыть позицию")</x:f>
        <x:v>Открыть позицию</x:v>
      </x:c>
    </x:row>
    <x:row r="40" ht="28" customHeight="1">
      <x:c r="A40" s="16" t="str">
        <x:v>Кемеровская теплосетевая компания</x:v>
      </x:c>
      <x:c r="B40" s="16" t="str">
        <x:v>2000001761-U121</x:v>
      </x:c>
      <x:c r="C40" s="16" t="str">
        <x:v>ФИЛЬТР МАСЛЯНЫЙ 740-1012040</x:v>
      </x:c>
      <x:c r="D40" s="16" t="str">
        <x:v>Фильтры для спецтехники и автотранспорта</x:v>
      </x:c>
      <x:c r="E40" s="16" t="str">
        <x:v>ШТ</x:v>
      </x:c>
      <x:c r="F40" s="21" t="n">
        <x:v>2</x:v>
      </x:c>
      <x:c r="G40" s="17" t="n">
        <x:v>208.1686</x:v>
      </x:c>
      <x:c r="H40" s="17" t="n">
        <x:f>G40*F40</x:f>
        <x:v>416.3372</x:v>
      </x:c>
      <x:c r="I40" s="22" t="str">
        <x:f>HYPERLINK("https://etp-aktiv.ru/catalog/materialy/zapasnye-chasti-k-avtotransportnomu-oborudovaniyu/2000001761-U121/","Открыть позицию")</x:f>
        <x:v>Открыть позицию</x:v>
      </x:c>
    </x:row>
    <x:row r="41" ht="28" customHeight="1">
      <x:c r="A41" s="16" t="str">
        <x:v>Кемеровская теплосетевая компания</x:v>
      </x:c>
      <x:c r="B41" s="16" t="str">
        <x:v>2000529666-U121</x:v>
      </x:c>
      <x:c r="C41" s="16" t="str">
        <x:v>ФИЛЬТР ТОПЛИВНЫЙ 17.193.1117010</x:v>
      </x:c>
      <x:c r="D41" s="16" t="str">
        <x:v>Фильтры для спецтехники и автотранспорта</x:v>
      </x:c>
      <x:c r="E41" s="16" t="str">
        <x:v>ШТ</x:v>
      </x:c>
      <x:c r="F41" s="21" t="n">
        <x:v>15</x:v>
      </x:c>
      <x:c r="G41" s="17" t="n">
        <x:v>54.9</x:v>
      </x:c>
      <x:c r="H41" s="17" t="n">
        <x:f>G41*F41</x:f>
        <x:v>823.5</x:v>
      </x:c>
      <x:c r="I41" s="22" t="str">
        <x:f>HYPERLINK("https://etp-aktiv.ru/catalog/materialy/zapasnye-chasti-k-avtotransportnomu-oborudovaniyu/2000529666-U121/","Открыть позицию")</x:f>
        <x:v>Открыть позицию</x:v>
      </x:c>
    </x:row>
    <x:row r="42" ht="28" customHeight="1">
      <x:c r="A42" s="16" t="str">
        <x:v>Кемеровская теплосетевая компания</x:v>
      </x:c>
      <x:c r="B42" s="16" t="str">
        <x:v>2000529669-U121</x:v>
      </x:c>
      <x:c r="C42" s="16" t="str">
        <x:v>ФИЛЬТР ТОПЛИВНЫЙ 23303-87308</x:v>
      </x:c>
      <x:c r="D42" s="16" t="str">
        <x:v>Фильтры для спецтехники и автотранспорта</x:v>
      </x:c>
      <x:c r="E42" s="16" t="str">
        <x:v>ШТ</x:v>
      </x:c>
      <x:c r="F42" s="21" t="n">
        <x:v>2</x:v>
      </x:c>
      <x:c r="G42" s="17" t="n">
        <x:v>315.675</x:v>
      </x:c>
      <x:c r="H42" s="17" t="n">
        <x:f>G42*F42</x:f>
        <x:v>631.35</x:v>
      </x:c>
      <x:c r="I42" s="22" t="str">
        <x:f>HYPERLINK("https://etp-aktiv.ru/catalog/materialy/zapasnye-chasti-k-avtotransportnomu-oborudovaniyu/2000529669-U121/","Открыть позицию")</x:f>
        <x:v>Открыть позицию</x:v>
      </x:c>
    </x:row>
    <x:row r="43" ht="28" customHeight="1">
      <x:c r="A43" s="16" t="str">
        <x:v>Кемеровская теплосетевая компания</x:v>
      </x:c>
      <x:c r="B43" s="16" t="str">
        <x:v>2000529657-U121</x:v>
      </x:c>
      <x:c r="C43" s="16" t="str">
        <x:v>ФИЛЬТР ТОПЛИВНЫЙ 26560201</x:v>
      </x:c>
      <x:c r="D43" s="16" t="str">
        <x:v>Фильтры для спецтехники и автотранспорта</x:v>
      </x:c>
      <x:c r="E43" s="16" t="str">
        <x:v>ШТ</x:v>
      </x:c>
      <x:c r="F43" s="21" t="n">
        <x:v>1</x:v>
      </x:c>
      <x:c r="G43" s="17" t="n">
        <x:v>1399.9987999999998</x:v>
      </x:c>
      <x:c r="H43" s="17" t="n">
        <x:f>G43*F43</x:f>
        <x:v>1399.9987999999998</x:v>
      </x:c>
      <x:c r="I43" s="22" t="str">
        <x:f>HYPERLINK("https://etp-aktiv.ru/catalog/materialy/zapasnye-chasti-k-avtotransportnomu-oborudovaniyu/2000529657-U121/","Открыть позицию")</x:f>
        <x:v>Открыть позицию</x:v>
      </x:c>
    </x:row>
    <x:row r="44" ht="28" customHeight="1">
      <x:c r="A44" s="16" t="str">
        <x:v>Кемеровская теплосетевая компания</x:v>
      </x:c>
      <x:c r="B44" s="16" t="str">
        <x:v>2000529642-U121</x:v>
      </x:c>
      <x:c r="C44" s="16" t="str">
        <x:v>ФИЛЬТР ТОПЛИВНЫЙ 536.1117075</x:v>
      </x:c>
      <x:c r="D44" s="16" t="str">
        <x:v>Фильтры для спецтехники и автотранспорта</x:v>
      </x:c>
      <x:c r="E44" s="16" t="str">
        <x:v>ШТ</x:v>
      </x:c>
      <x:c r="F44" s="21" t="n">
        <x:v>2</x:v>
      </x:c>
      <x:c r="G44" s="17" t="n">
        <x:v>389.9974</x:v>
      </x:c>
      <x:c r="H44" s="17" t="n">
        <x:f>G44*F44</x:f>
        <x:v>779.9948</x:v>
      </x:c>
      <x:c r="I44" s="22" t="str">
        <x:f>HYPERLINK("https://etp-aktiv.ru/catalog/materialy/zapasnye-chasti-k-avtotransportnomu-oborudovaniyu/2000529642-U121/","Открыть позицию")</x:f>
        <x:v>Открыть позицию</x:v>
      </x:c>
    </x:row>
    <x:row r="45" ht="28" customHeight="1">
      <x:c r="A45" s="16" t="str">
        <x:v>Кемеровская теплосетевая компания</x:v>
      </x:c>
      <x:c r="B45" s="16" t="str">
        <x:v>2000529725-U121</x:v>
      </x:c>
      <x:c r="C45" s="16" t="str">
        <x:v>ФИЛЬТР ТОПЛИВНЫЙ 7511.1117075</x:v>
      </x:c>
      <x:c r="D45" s="16" t="str">
        <x:v>Фильтры для спецтехники и автотранспорта</x:v>
      </x:c>
      <x:c r="E45" s="16" t="str">
        <x:v>ШТ</x:v>
      </x:c>
      <x:c r="F45" s="21" t="n">
        <x:v>1</x:v>
      </x:c>
      <x:c r="G45" s="17" t="n">
        <x:v>1382.0403999999999</x:v>
      </x:c>
      <x:c r="H45" s="17" t="n">
        <x:f>G45*F45</x:f>
        <x:v>1382.0403999999999</x:v>
      </x:c>
      <x:c r="I45" s="22" t="str">
        <x:f>HYPERLINK("https://etp-aktiv.ru/catalog/materialy/zapasnye-chasti-k-avtotransportnomu-oborudovaniyu/2000529725-U121/","Открыть позицию")</x:f>
        <x:v>Открыть позицию</x:v>
      </x:c>
    </x:row>
    <x:row r="46" ht="28" customHeight="1">
      <x:c r="A46" s="16" t="str">
        <x:v>Кемеровская теплосетевая компания</x:v>
      </x:c>
      <x:c r="B46" s="16" t="str">
        <x:v>2000386109-U121</x:v>
      </x:c>
      <x:c r="C46" s="16" t="str">
        <x:v>ФИЛЬТР ТОПЛИВНЫЙ FS19925</x:v>
      </x:c>
      <x:c r="D46" s="16" t="str">
        <x:v>Фильтры для спецтехники и автотранспорта</x:v>
      </x:c>
      <x:c r="E46" s="16" t="str">
        <x:v>ШТ</x:v>
      </x:c>
      <x:c r="F46" s="21" t="n">
        <x:v>1</x:v>
      </x:c>
      <x:c r="G46" s="17" t="n">
        <x:v>305.7564</x:v>
      </x:c>
      <x:c r="H46" s="17" t="n">
        <x:f>G46*F46</x:f>
        <x:v>305.7564</x:v>
      </x:c>
      <x:c r="I46" s="22" t="str">
        <x:f>HYPERLINK("https://etp-aktiv.ru/catalog/materialy/zapasnye-chasti-k-avtotransportnomu-oborudovaniyu/2000386109-U121/","Открыть позицию")</x:f>
        <x:v>Открыть позицию</x:v>
      </x:c>
    </x:row>
    <x:row r="47" ht="28" customHeight="1">
      <x:c r="A47" s="16" t="str">
        <x:v>Кемеровская теплосетевая компания</x:v>
      </x:c>
      <x:c r="B47" s="16" t="str">
        <x:v>2000984973-U121</x:v>
      </x:c>
      <x:c r="C47" s="16" t="str">
        <x:v>ФИЛЬТРОЭЛЕМЕНТ ОТОПИТЕЛЯ 5320-8101294</x:v>
      </x:c>
      <x:c r="D47" s="16" t="str">
        <x:v>Запасные части к автотранспортному оборудованию</x:v>
      </x:c>
      <x:c r="E47" s="16" t="str">
        <x:v>ШТ</x:v>
      </x:c>
      <x:c r="F47" s="21" t="n">
        <x:v>1</x:v>
      </x:c>
      <x:c r="G47" s="17" t="n">
        <x:v>53.985</x:v>
      </x:c>
      <x:c r="H47" s="17" t="n">
        <x:f>G47*F47</x:f>
        <x:v>53.985</x:v>
      </x:c>
      <x:c r="I47" s="22" t="str">
        <x:f>HYPERLINK("https://etp-aktiv.ru/catalog/materialy/zapasnye-chasti-k-avtotransportnomu-oborudovaniyu/2000984973-U121/","Открыть позицию")</x:f>
        <x:v>Открыть позицию</x:v>
      </x:c>
    </x:row>
    <x:row r="48" ht="28" customHeight="1">
      <x:c r="A48" s="16" t="str">
        <x:v>Кемеровская теплосетевая компания</x:v>
      </x:c>
      <x:c r="B48" s="16" t="str">
        <x:v>2000595207-U121</x:v>
      </x:c>
      <x:c r="C48" s="16" t="str">
        <x:v>ШАРНИР 23107-2304060 КУЛ ПОВОР ГАЗ ПРАВ</x:v>
      </x:c>
      <x:c r="D48" s="16" t="str">
        <x:v>Запасные части к автотранспортному оборудованию</x:v>
      </x:c>
      <x:c r="E48" s="16" t="str">
        <x:v>ШТ</x:v>
      </x:c>
      <x:c r="F48" s="21" t="n">
        <x:v>1</x:v>
      </x:c>
      <x:c r="G48" s="17" t="n">
        <x:v>10522.5</x:v>
      </x:c>
      <x:c r="H48" s="17" t="n">
        <x:f>G48*F48</x:f>
        <x:v>10522.5</x:v>
      </x:c>
      <x:c r="I48" s="22" t="str">
        <x:f>HYPERLINK("https://etp-aktiv.ru/catalog/materialy/zapasnye-chasti-k-avtotransportnomu-oborudovaniyu/2000595207-U121/","Открыть позицию")</x:f>
        <x:v>Открыть позицию</x:v>
      </x:c>
    </x:row>
    <x:row r="49" ht="28" customHeight="1">
      <x:c r="A49" s="16" t="str">
        <x:v>Кемеровская теплосетевая компания</x:v>
      </x:c>
      <x:c r="B49" s="16" t="str">
        <x:v>2000528969-U121</x:v>
      </x:c>
      <x:c r="C49" s="16" t="str">
        <x:v>ЭЛЕМЕНТ ФИЛЬТРУЮЩИЙ Т 6301 (И-502Б)</x:v>
      </x:c>
      <x:c r="D49" s="16" t="str">
        <x:v>Запасные части к автотранспортному оборудованию</x:v>
      </x:c>
      <x:c r="E49" s="16" t="str">
        <x:v>ШТ</x:v>
      </x:c>
      <x:c r="F49" s="21" t="n">
        <x:v>1</x:v>
      </x:c>
      <x:c r="G49" s="17" t="n">
        <x:v>113.9236</x:v>
      </x:c>
      <x:c r="H49" s="17" t="n">
        <x:f>G49*F49</x:f>
        <x:v>113.9236</x:v>
      </x:c>
      <x:c r="I49" s="22" t="str">
        <x:f>HYPERLINK("https://etp-aktiv.ru/catalog/materialy/zapasnye-chasti-k-avtotransportnomu-oborudovaniyu/2000528969-U121/","Открыть позицию")</x:f>
        <x:v>Открыть позицию</x:v>
      </x:c>
    </x:row>
    <x:row r="50" ht="28" customHeight="1">
      <x:c r="A50" s="16" t="str">
        <x:v>Ново-Кемеровская ТЭЦ</x:v>
      </x:c>
      <x:c r="B50" s="16" t="str">
        <x:v>2000148968-U411</x:v>
      </x:c>
      <x:c r="C50" s="16" t="str">
        <x:v>ДИСК ТОРМОЗНОЙ 50-3502040-А</x:v>
      </x:c>
      <x:c r="D50" s="16" t="str">
        <x:v>Запасные части к автотранспортному оборудованию</x:v>
      </x:c>
      <x:c r="E50" s="16" t="str">
        <x:v>ШТ</x:v>
      </x:c>
      <x:c r="F50" s="21" t="n">
        <x:v>4</x:v>
      </x:c>
      <x:c r="G50" s="17" t="n">
        <x:v>91.5</x:v>
      </x:c>
      <x:c r="H50" s="17" t="n">
        <x:f>G50*F50</x:f>
        <x:v>366</x:v>
      </x:c>
      <x:c r="I50" s="22" t="str">
        <x:f>HYPERLINK("https://etp-aktiv.ru/catalog/materialy/zapasnye-chasti-k-avtotransportnomu-oborudovaniyu/2000148968-U411/","Открыть позицию")</x:f>
        <x:v>Открыть позицию</x:v>
      </x:c>
    </x:row>
    <x:row r="51" ht="28" customHeight="1">
      <x:c r="A51" s="16" t="str">
        <x:v>Ново-Кемеровская ТЭЦ</x:v>
      </x:c>
      <x:c r="B51" s="16" t="str">
        <x:v>2000529547-U411</x:v>
      </x:c>
      <x:c r="C51" s="16" t="str">
        <x:v>КОЛОДКА ТОРМОЗНАЯ 2217-3501800-02</x:v>
      </x:c>
      <x:c r="D51" s="16" t="str">
        <x:v>Запасные части к автотранспортному оборудованию</x:v>
      </x:c>
      <x:c r="E51" s="16" t="str">
        <x:v>ШТ</x:v>
      </x:c>
      <x:c r="F51" s="21" t="n">
        <x:v>10</x:v>
      </x:c>
      <x:c r="G51" s="17" t="n">
        <x:v>449.997</x:v>
      </x:c>
      <x:c r="H51" s="17" t="n">
        <x:f>G51*F51</x:f>
        <x:v>4499.97</x:v>
      </x:c>
      <x:c r="I51" s="22" t="str">
        <x:f>HYPERLINK("https://etp-aktiv.ru/catalog/materialy/zapasnye-chasti-k-avtotransportnomu-oborudovaniyu/2000529547-U411/","Открыть позицию")</x:f>
        <x:v>Открыть позицию</x:v>
      </x:c>
    </x:row>
    <x:row r="52" ht="28" customHeight="1">
      <x:c r="A52" s="16" t="str">
        <x:v>Ново-Кемеровская ТЭЦ</x:v>
      </x:c>
      <x:c r="B52" s="16" t="str">
        <x:v>2000011844-U411</x:v>
      </x:c>
      <x:c r="C52" s="16" t="str">
        <x:v>МАХОВИК 240-1005115</x:v>
      </x:c>
      <x:c r="D52" s="16" t="str">
        <x:v>Запасные части к карьерной технике БЕЛАЗ</x:v>
      </x:c>
      <x:c r="E52" s="16" t="str">
        <x:v>ШТ</x:v>
      </x:c>
      <x:c r="F52" s="21" t="n">
        <x:v>1</x:v>
      </x:c>
      <x:c r="G52" s="17" t="n">
        <x:v>5204.5199999999995</x:v>
      </x:c>
      <x:c r="H52" s="17" t="n">
        <x:f>G52*F52</x:f>
        <x:v>5204.5199999999995</x:v>
      </x:c>
      <x:c r="I52" s="22" t="str">
        <x:f>HYPERLINK("https://etp-aktiv.ru/catalog/materialy/zapasnye-chasti-k-gorno-shahtnomu-oborudovaniyu/2000011844-U411/","Открыть позицию")</x:f>
        <x:v>Открыть позицию</x:v>
      </x:c>
    </x:row>
    <x:row r="53" ht="28" customHeight="1">
      <x:c r="A53" s="16" t="str">
        <x:v>Ново-Кемеровская ТЭЦ</x:v>
      </x:c>
      <x:c r="B53" s="16" t="str">
        <x:v>2000257522-U411</x:v>
      </x:c>
      <x:c r="C53" s="16" t="str">
        <x:v>МОТОР ОТОПИТЕЛЯ 21-3780</x:v>
      </x:c>
      <x:c r="D53" s="16" t="str">
        <x:v>Запасные части к автотранспортному оборудованию</x:v>
      </x:c>
      <x:c r="E53" s="16" t="str">
        <x:v>ШТ</x:v>
      </x:c>
      <x:c r="F53" s="21" t="n">
        <x:v>1</x:v>
      </x:c>
      <x:c r="G53" s="17" t="n">
        <x:v>350.7622</x:v>
      </x:c>
      <x:c r="H53" s="17" t="n">
        <x:f>G53*F53</x:f>
        <x:v>350.7622</x:v>
      </x:c>
      <x:c r="I53" s="22" t="str">
        <x:f>HYPERLINK("https://etp-aktiv.ru/catalog/materialy/zapasnye-chasti-k-avtotransportnomu-oborudovaniyu/2000257522-U411/","Открыть позицию")</x:f>
        <x:v>Открыть позицию</x:v>
      </x:c>
    </x:row>
    <x:row r="54" ht="28" customHeight="1">
      <x:c r="A54" s="16" t="str">
        <x:v>Ново-Кемеровская ТЭЦ</x:v>
      </x:c>
      <x:c r="B54" s="16" t="str">
        <x:v>2000001568-U411</x:v>
      </x:c>
      <x:c r="C54" s="16" t="str">
        <x:v>ПРОКЛАДКА КРЫШКИ КЛАПАНА 238-1003270</x:v>
      </x:c>
      <x:c r="D54" s="16" t="str">
        <x:v>Запасные части к экскаваторам гидравлическим</x:v>
      </x:c>
      <x:c r="E54" s="16" t="str">
        <x:v>ШТ</x:v>
      </x:c>
      <x:c r="F54" s="21" t="n">
        <x:v>2</x:v>
      </x:c>
      <x:c r="G54" s="17" t="n">
        <x:v>457.04859999999996</x:v>
      </x:c>
      <x:c r="H54" s="17" t="n">
        <x:f>G54*F54</x:f>
        <x:v>914.0971999999999</x:v>
      </x:c>
      <x:c r="I54" s="22" t="str">
        <x:f>HYPERLINK("https://etp-aktiv.ru/catalog/materialy/zapasnye-chasti-k-dorozhno-stroitelnoj-tekhnike/2000001568-U411/","Открыть позицию")</x:f>
        <x:v>Открыть позицию</x:v>
      </x:c>
    </x:row>
    <x:row r="55" ht="28" customHeight="1">
      <x:c r="A55" s="16" t="str">
        <x:v>Томь-Усинская ГРЭС</x:v>
      </x:c>
      <x:c r="B55" s="16" t="str">
        <x:v>2000816735-U111</x:v>
      </x:c>
      <x:c r="C55" s="16" t="str">
        <x:v>ПРОФИЛЬ УПЛОТНИТЕЛЬНЫЙ 10290094</x:v>
      </x:c>
      <x:c r="D55" s="16" t="str">
        <x:v>Запасные части к карьерной технике Liebherr</x:v>
      </x:c>
      <x:c r="E55" s="16" t="str">
        <x:v>ШТ</x:v>
      </x:c>
      <x:c r="F55" s="21" t="n">
        <x:v>10</x:v>
      </x:c>
      <x:c r="G55" s="17" t="n">
        <x:v>489.9154</x:v>
      </x:c>
      <x:c r="H55" s="17" t="n">
        <x:f>G55*F55</x:f>
        <x:v>4899.1539999999995</x:v>
      </x:c>
      <x:c r="I55" s="22" t="str">
        <x:f>HYPERLINK("https://etp-aktiv.ru/catalog/materialy/zapasnye-chasti-k-dorozhno-stroitelnoj-tekhnike/2000816735-U111/","Открыть позицию")</x:f>
        <x:v>Открыть позицию</x:v>
      </x:c>
    </x:row>
    <x:row r="56" ht="28" customHeight="1">
      <x:c r="A56" s="16" t="str">
        <x:v>Томь-Усинская ГРЭС</x:v>
      </x:c>
      <x:c r="B56" s="16" t="str">
        <x:v>2000000620-U111</x:v>
      </x:c>
      <x:c r="C56" s="16" t="str">
        <x:v>САЛЬНИК 2,2-25*42-10</x:v>
      </x:c>
      <x:c r="D56" s="16" t="str">
        <x:v>Запасные части к автотранспортному оборудованию</x:v>
      </x:c>
      <x:c r="E56" s="16" t="str">
        <x:v>ШТ</x:v>
      </x:c>
      <x:c r="F56" s="21" t="n">
        <x:v>2</x:v>
      </x:c>
      <x:c r="G56" s="17" t="n">
        <x:v>16.0186</x:v>
      </x:c>
      <x:c r="H56" s="17" t="n">
        <x:f>G56*F56</x:f>
        <x:v>32.0372</x:v>
      </x:c>
      <x:c r="I56" s="22" t="str">
        <x:f>HYPERLINK("https://etp-aktiv.ru/catalog/materialy/zapasnye-chasti-k-avtotransportnomu-oborudovaniyu/2000000620-U111/","Открыть позицию")</x:f>
        <x:v>Открыть позицию</x:v>
      </x:c>
    </x:row>
    <x:row r="57" ht="28" customHeight="1">
      <x:c r="A57" s="16" t="str">
        <x:v>Томь-Усинская ГРЭС</x:v>
      </x:c>
      <x:c r="B57" s="16" t="str">
        <x:v>2000209652-U111</x:v>
      </x:c>
      <x:c r="C57" s="16" t="str">
        <x:v>ФИЛЬТР ТОПЛИВНЫЙ 6754-79-6140</x:v>
      </x:c>
      <x:c r="D57" s="16" t="str">
        <x:v>Фильтры для спецтехники и автотранспорта</x:v>
      </x:c>
      <x:c r="E57" s="16" t="str">
        <x:v>ШТ</x:v>
      </x:c>
      <x:c r="F57" s="21" t="n">
        <x:v>2</x:v>
      </x:c>
      <x:c r="G57" s="17" t="n">
        <x:v>471.34700000000004</x:v>
      </x:c>
      <x:c r="H57" s="17" t="n">
        <x:f>G57*F57</x:f>
        <x:v>942.6940000000001</x:v>
      </x:c>
      <x:c r="I57" s="22" t="str">
        <x:f>HYPERLINK("https://etp-aktiv.ru/catalog/materialy/zapasnye-chasti-k-avtotransportnomu-oborudovaniyu/2000209652-U111/","Открыть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1a3410ddcefd4d19"/>
  </x:tableParts>
</x:worksheet>
</file>

<file path=xl/worksheets/sheet16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Кузбасс: Прочие специализированные материалы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Томь-Усинская ГРЭС</x:v>
      </x:c>
      <x:c r="B5" s="16" t="str">
        <x:v>2000552376-U111</x:v>
      </x:c>
      <x:c r="C5" s="16" t="str">
        <x:v>ФЛЯЖКА КАПРОНОВАЯ 1Л</x:v>
      </x:c>
      <x:c r="D5" s="16" t="str">
        <x:v>Тара, тарные и вспомогательные материалы для упаковки</x:v>
      </x:c>
      <x:c r="E5" s="16" t="str">
        <x:v>ШТ</x:v>
      </x:c>
      <x:c r="F5" s="21" t="n">
        <x:v>4</x:v>
      </x:c>
      <x:c r="G5" s="17" t="n">
        <x:v>0.0122</x:v>
      </x:c>
      <x:c r="H5" s="17" t="n">
        <x:f>G5*F5</x:f>
        <x:v>0.0488</x:v>
      </x:c>
      <x:c r="I5" s="22" t="str">
        <x:f>HYPERLINK("https://etp-aktiv.ru/catalog/materialy/tara/2000552376-U111/","Открыть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4cb5abf6f2654038"/>
  </x:tableParts>
</x:worksheet>
</file>