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  <Override PartName="/xl/worksheets/sheet21.xml" ContentType="application/vnd.openxmlformats-officedocument.spreadsheetml.worksheet+xml"/>
  <Override PartName="/xl/tables/table2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949111002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aa951e8014c24f46"/>
    <x:sheet xmlns:r="http://schemas.openxmlformats.org/officeDocument/2006/relationships" name="КМП ТФП-110" sheetId="2" r:id="Rbc3598922a654af0"/>
    <x:sheet xmlns:r="http://schemas.openxmlformats.org/officeDocument/2006/relationships" name="Пункт ЦТП" sheetId="3" r:id="R36b4ae6e5a5e441e"/>
    <x:sheet xmlns:r="http://schemas.openxmlformats.org/officeDocument/2006/relationships" name="Водоподготовка" sheetId="4" r:id="R47c44bd0fdaa4bea"/>
    <x:sheet xmlns:r="http://schemas.openxmlformats.org/officeDocument/2006/relationships" name="ЗИП турбогенераторов" sheetId="5" r:id="R20a42d83017045b1"/>
    <x:sheet xmlns:r="http://schemas.openxmlformats.org/officeDocument/2006/relationships" name="КВО и ЗИП" sheetId="6" r:id="R41e3162d661241ed"/>
    <x:sheet xmlns:r="http://schemas.openxmlformats.org/officeDocument/2006/relationships" name="Турбинное оборудование" sheetId="7" r:id="Rbb5cd6ee947c41ac"/>
    <x:sheet xmlns:r="http://schemas.openxmlformats.org/officeDocument/2006/relationships" name="ЖД оборудование и ВСП" sheetId="8" r:id="Rc13dfc356f274226"/>
    <x:sheet xmlns:r="http://schemas.openxmlformats.org/officeDocument/2006/relationships" name="Промбезопасность" sheetId="9" r:id="R792bc2e530c04d35"/>
    <x:sheet xmlns:r="http://schemas.openxmlformats.org/officeDocument/2006/relationships" name="Строительные материалы" sheetId="10" r:id="Rf21e989fbd9c4dcb"/>
    <x:sheet xmlns:r="http://schemas.openxmlformats.org/officeDocument/2006/relationships" name="Трубы и фитинги" sheetId="11" r:id="R9eec5bae14334f96"/>
    <x:sheet xmlns:r="http://schemas.openxmlformats.org/officeDocument/2006/relationships" name="Металлопрокат и сварка" sheetId="12" r:id="R9f0cc1df1b134236"/>
    <x:sheet xmlns:r="http://schemas.openxmlformats.org/officeDocument/2006/relationships" name="Кабельно-проводниковая" sheetId="13" r:id="R42475163844f46dd"/>
    <x:sheet xmlns:r="http://schemas.openxmlformats.org/officeDocument/2006/relationships" name="Электрооборудование" sheetId="14" r:id="R3404342d4388453f"/>
    <x:sheet xmlns:r="http://schemas.openxmlformats.org/officeDocument/2006/relationships" name="МРО механика и ЗИП" sheetId="15" r:id="R6142213c26314cdb"/>
    <x:sheet xmlns:r="http://schemas.openxmlformats.org/officeDocument/2006/relationships" name="Изоляция РТИ огнеупоры" sheetId="16" r:id="R4ad060d2f2d84d6f"/>
    <x:sheet xmlns:r="http://schemas.openxmlformats.org/officeDocument/2006/relationships" name="Химматериалы" sheetId="17" r:id="R3f85fd6a78e84b0d"/>
    <x:sheet xmlns:r="http://schemas.openxmlformats.org/officeDocument/2006/relationships" name="Электрика и кабель" sheetId="18" r:id="Rdd5ddfae9c004970"/>
    <x:sheet xmlns:r="http://schemas.openxmlformats.org/officeDocument/2006/relationships" name="Изоляция и уплотнения" sheetId="19" r:id="R6e624c3d7ee4420d"/>
    <x:sheet xmlns:r="http://schemas.openxmlformats.org/officeDocument/2006/relationships" name="МРО метизы инструмент" sheetId="20" r:id="Rb86e8d00874948f5"/>
    <x:sheet xmlns:r="http://schemas.openxmlformats.org/officeDocument/2006/relationships" name="Авто и спецтехника" sheetId="21" r:id="R17bb8e79a26144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₽&quot;"/>
    <x:numFmt numFmtId="201" formatCode="#,##0"/>
    <x:numFmt numFmtId="202" formatCode="0.###"/>
    <x:numFmt numFmtId="203" formatCode="#,##0.##"/>
  </x:numFmts>
  <x:fonts count="5">
    <x:font>
      <x:sz val="11"/>
      <x:name val="Carlito"/>
    </x:font>
    <x:font>
      <x:b/>
      <x:sz val="16"/>
      <x:color rgb="FF1F2937"/>
      <x:name val="Arial"/>
    </x:font>
    <x:font>
      <x:i/>
      <x:sz val="10"/>
      <x:color rgb="FF5B677A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202" fontId="4" fillId="0" borderId="0" xfId="0" applyNumberFormat="1" applyFont="1" applyFill="1" applyBorder="1" applyAlignment="1">
      <x:alignment wrapText="1"/>
    </x:xf>
    <x:xf numFmtId="203" fontId="4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e30309d4b4469" /><Relationship Type="http://schemas.openxmlformats.org/officeDocument/2006/relationships/theme" Target="/xl/theme/theme1.xml" Id="Rf98ac18ace9a49c1" /><Relationship Type="http://schemas.openxmlformats.org/officeDocument/2006/relationships/sharedStrings" Target="/xl/sharedStrings.xml" Id="Rafbbac79179e4e28" /><Relationship Type="http://schemas.openxmlformats.org/officeDocument/2006/relationships/worksheet" Target="/xl/worksheets/sheet1.xml" Id="Raa951e8014c24f46" /><Relationship Type="http://schemas.openxmlformats.org/officeDocument/2006/relationships/worksheet" Target="/xl/worksheets/sheet2.xml" Id="Rbc3598922a654af0" /><Relationship Type="http://schemas.openxmlformats.org/officeDocument/2006/relationships/worksheet" Target="/xl/worksheets/sheet3.xml" Id="R36b4ae6e5a5e441e" /><Relationship Type="http://schemas.openxmlformats.org/officeDocument/2006/relationships/worksheet" Target="/xl/worksheets/sheet4.xml" Id="R47c44bd0fdaa4bea" /><Relationship Type="http://schemas.openxmlformats.org/officeDocument/2006/relationships/worksheet" Target="/xl/worksheets/sheet5.xml" Id="R20a42d83017045b1" /><Relationship Type="http://schemas.openxmlformats.org/officeDocument/2006/relationships/worksheet" Target="/xl/worksheets/sheet6.xml" Id="R41e3162d661241ed" /><Relationship Type="http://schemas.openxmlformats.org/officeDocument/2006/relationships/worksheet" Target="/xl/worksheets/sheet7.xml" Id="Rbb5cd6ee947c41ac" /><Relationship Type="http://schemas.openxmlformats.org/officeDocument/2006/relationships/worksheet" Target="/xl/worksheets/sheet8.xml" Id="Rc13dfc356f274226" /><Relationship Type="http://schemas.openxmlformats.org/officeDocument/2006/relationships/worksheet" Target="/xl/worksheets/sheet9.xml" Id="R792bc2e530c04d35" /><Relationship Type="http://schemas.openxmlformats.org/officeDocument/2006/relationships/worksheet" Target="/xl/worksheets/sheet10.xml" Id="Rf21e989fbd9c4dcb" /><Relationship Type="http://schemas.openxmlformats.org/officeDocument/2006/relationships/worksheet" Target="/xl/worksheets/sheet11.xml" Id="R9eec5bae14334f96" /><Relationship Type="http://schemas.openxmlformats.org/officeDocument/2006/relationships/worksheet" Target="/xl/worksheets/sheet12.xml" Id="R9f0cc1df1b134236" /><Relationship Type="http://schemas.openxmlformats.org/officeDocument/2006/relationships/worksheet" Target="/xl/worksheets/sheet13.xml" Id="R42475163844f46dd" /><Relationship Type="http://schemas.openxmlformats.org/officeDocument/2006/relationships/worksheet" Target="/xl/worksheets/sheet14.xml" Id="R3404342d4388453f" /><Relationship Type="http://schemas.openxmlformats.org/officeDocument/2006/relationships/worksheet" Target="/xl/worksheets/sheet15.xml" Id="R6142213c26314cdb" /><Relationship Type="http://schemas.openxmlformats.org/officeDocument/2006/relationships/worksheet" Target="/xl/worksheets/sheet16.xml" Id="R4ad060d2f2d84d6f" /><Relationship Type="http://schemas.openxmlformats.org/officeDocument/2006/relationships/worksheet" Target="/xl/worksheets/sheet17.xml" Id="R3f85fd6a78e84b0d" /><Relationship Type="http://schemas.openxmlformats.org/officeDocument/2006/relationships/worksheet" Target="/xl/worksheets/sheet18.xml" Id="Rdd5ddfae9c004970" /><Relationship Type="http://schemas.openxmlformats.org/officeDocument/2006/relationships/worksheet" Target="/xl/worksheets/sheet19.xml" Id="R6e624c3d7ee4420d" /><Relationship Type="http://schemas.openxmlformats.org/officeDocument/2006/relationships/worksheet" Target="/xl/worksheets/sheet20.xml" Id="Rb86e8d00874948f5" /><Relationship Type="http://schemas.openxmlformats.org/officeDocument/2006/relationships/worksheet" Target="/xl/worksheets/sheet21.xml" Id="R17bb8e79a2614485" /></Relationships>
</file>

<file path=xl/tables/table1.xml><?xml version="1.0" encoding="utf-8"?>
<x:table xmlns:x="http://schemas.openxmlformats.org/spreadsheetml/2006/main" id="1" name="CategorySummary" displayName="CategorySummary" ref="A4:F24" headerRowCount="1" totalsRowCount="0" totalsRowShown="0">
  <x:tableColumns count="6">
    <x:tableColumn id="1" name="Товарная категория"/>
    <x:tableColumn id="2" name="Лист"/>
    <x:tableColumn id="3" name="Позиций"/>
    <x:tableColumn id="4" name="ПЕ"/>
    <x:tableColumn id="5" name="Сумма с НДС, ₽"/>
    <x:tableColumn id="6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egory01" displayName="Category01" ref="A4:I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egory02" displayName="Category02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tegory03" displayName="Category03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tegory04" displayName="Category04" ref="A4:I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tegory05" displayName="Category05" ref="A4:I20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tegory06" displayName="Category06" ref="A4:I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tegory07" displayName="Category07" ref="A4:I10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ategory08" displayName="Category08" ref="A4:I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Category09" displayName="Category09" ref="A4:I3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Category10" displayName="Category10" ref="A4:I15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ategory11" displayName="Category11" ref="A4:I11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Category12" displayName="Category12" ref="A4:I6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Category13" displayName="Category13" ref="A4:I8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Category14" displayName="Category14" ref="A4:I9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Category15" displayName="Category15" ref="A4:I6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Category16" displayName="Category16" ref="A4:I1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Category17" displayName="Category17" ref="A4:I5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Category18" displayName="Category18" ref="A4:I7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0" name="Category19" displayName="Category19" ref="A4:I28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1" name="Category20" displayName="Category20" ref="A4:I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cbcdf14d2c450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11320aad6684f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9de048388db4dd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94749e244a8474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cb9902abc9a4dd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0d0fbf8e5a9470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b9faec75a2894bc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6cd41c3cfead424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7e49d30dfda84db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cfad3a36482645c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9c7d9447f3784f7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5d6f1842de2a4311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56441b087a1c4839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4b33316763e141f9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3a725c958e834b12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ba9bbdbafb704ace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6b0aa09065704e2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cb1ecdf6d23647d1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7191ccfe9c3d413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d143e47a06e64120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1.xml" Id="Reff97936adce4e92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10" hidden="0" customWidth="1"/>
    <x:col min="4" max="4" width="44" hidden="0" customWidth="1"/>
    <x:col min="5" max="5" width="18" hidden="0" customWidth="1"/>
    <x:col min="6" max="6" width="29" hidden="0" customWidth="1"/>
  </x:cols>
  <x:sheetData>
    <x:row r="1" ht="28" customHeight="1">
      <x:c r="A1" s="2" t="str">
        <x:v>Неликвиды — Новосибирск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Товарная категория</x:v>
      </x:c>
      <x:c r="B4" s="10" t="str">
        <x:v>Лист</x:v>
      </x:c>
      <x:c r="C4" s="10" t="str">
        <x:v>Позиций</x:v>
      </x:c>
      <x:c r="D4" s="10" t="str">
        <x:v>ПЕ</x:v>
      </x:c>
      <x:c r="E4" s="10" t="str">
        <x:v>Сумма с НДС, ₽</x:v>
      </x:c>
      <x:c r="F4" s="10" t="str">
        <x:v>Статус</x:v>
      </x:c>
    </x:row>
    <x:row r="5" ht="58" customHeight="1">
      <x:c r="A5" s="16" t="str">
        <x:v>КМП ТФП-110: N1 + N2, единый агрегат</x:v>
      </x:c>
      <x:c r="B5" s="16" t="str">
        <x:v>КМП ТФП-110</x:v>
      </x:c>
      <x:c r="C5" s="16" t="n">
        <x:v>2</x:v>
      </x:c>
      <x:c r="D5" s="16" t="str">
        <x:v>Новосибирская ТЭЦ-5</x:v>
      </x:c>
      <x:c r="E5" s="17" t="n">
        <x:v>49692894.3198</x:v>
      </x:c>
      <x:c r="F5" s="16" t="str">
        <x:v>Существующая/расширенная группа</x:v>
      </x:c>
    </x:row>
    <x:row r="6" ht="58" customHeight="1">
      <x:c r="A6" s="16" t="str">
        <x:v>Пункт ЦТП: самостоятельное оборудование</x:v>
      </x:c>
      <x:c r="B6" s="16" t="str">
        <x:v>Пункт ЦТП</x:v>
      </x:c>
      <x:c r="C6" s="16" t="n">
        <x:v>1</x:v>
      </x:c>
      <x:c r="D6" s="16" t="str">
        <x:v>Филиал «Тепловые сети»</x:v>
      </x:c>
      <x:c r="E6" s="17" t="n">
        <x:v>15908800</x:v>
      </x:c>
      <x:c r="F6" s="16" t="str">
        <x:v>Существующая/расширенная группа</x:v>
      </x:c>
    </x:row>
    <x:row r="7" ht="58" customHeight="1">
      <x:c r="A7" s="16" t="str">
        <x:v>Водоподготовка: самостоятельное оборудование</x:v>
      </x:c>
      <x:c r="B7" s="16" t="str">
        <x:v>Водоподготовка</x:v>
      </x:c>
      <x:c r="C7" s="16" t="n">
        <x:v>1</x:v>
      </x:c>
      <x:c r="D7" s="16" t="str">
        <x:v>Новосибирская ТЭЦ-3</x:v>
      </x:c>
      <x:c r="E7" s="17" t="n">
        <x:v>0</x:v>
      </x:c>
      <x:c r="F7" s="16" t="str">
        <x:v>Существующая/расширенная группа</x:v>
      </x:c>
    </x:row>
    <x:row r="8" ht="58" customHeight="1">
      <x:c r="A8" s="16" t="str">
        <x:v>ЗИП турбогенераторов</x:v>
      </x:c>
      <x:c r="B8" s="16" t="str">
        <x:v>ЗИП турбогенераторов</x:v>
      </x:c>
      <x:c r="C8" s="16" t="n">
        <x:v>3</x:v>
      </x:c>
      <x:c r="D8" s="16" t="str">
        <x:v>Новосибирская ТЭЦ-5</x:v>
      </x:c>
      <x:c r="E8" s="17" t="n">
        <x:v>501908</x:v>
      </x:c>
      <x:c r="F8" s="16" t="str">
        <x:v>Существующая/расширенная группа</x:v>
      </x:c>
    </x:row>
    <x:row r="9" ht="58" customHeight="1">
      <x:c r="A9" s="16" t="str">
        <x:v>Котельно-вспомогательное оборудование и ЗИП</x:v>
      </x:c>
      <x:c r="B9" s="16" t="str">
        <x:v>КВО и ЗИП</x:v>
      </x:c>
      <x:c r="C9" s="16" t="n">
        <x:v>16</x:v>
      </x:c>
      <x:c r="D9" s="16" t="str">
        <x:v>Новосибирская ТЭЦ-2, Новосибирская ТЭЦ-3, Новосибирская ТЭЦ-4, Новосибирская ТЭЦ-5, Филиал «Тепловые сети»</x:v>
      </x:c>
      <x:c r="E9" s="17" t="n">
        <x:v>37579.70879999999</x:v>
      </x:c>
      <x:c r="F9" s="16" t="str">
        <x:v>Существующая/расширенная группа</x:v>
      </x:c>
    </x:row>
    <x:row r="10" ht="58" customHeight="1">
      <x:c r="A10" s="16" t="str">
        <x:v>Турбинное оборудование и ЗИП</x:v>
      </x:c>
      <x:c r="B10" s="16" t="str">
        <x:v>Турбинное оборудование</x:v>
      </x:c>
      <x:c r="C10" s="16" t="n">
        <x:v>2</x:v>
      </x:c>
      <x:c r="D10" s="16" t="str">
        <x:v>Новосибирская ТЭЦ-2, Филиал «Тепловые сети»</x:v>
      </x:c>
      <x:c r="E10" s="17" t="n">
        <x:v>20624.7344</x:v>
      </x:c>
      <x:c r="F10" s="16" t="str">
        <x:v>Новая группа</x:v>
      </x:c>
    </x:row>
    <x:row r="11" ht="58" customHeight="1">
      <x:c r="A11" s="16" t="str">
        <x:v>Железнодорожное оборудование и материалы ВСП</x:v>
      </x:c>
      <x:c r="B11" s="16" t="str">
        <x:v>ЖД оборудование и ВСП</x:v>
      </x:c>
      <x:c r="C11" s="16" t="n">
        <x:v>6</x:v>
      </x:c>
      <x:c r="D11" s="16" t="str">
        <x:v>Новосибирская ТЭЦ-2, Новосибирская ТЭЦ-3, Новосибирская ТЭЦ-5</x:v>
      </x:c>
      <x:c r="E11" s="17" t="n">
        <x:v>12404.794507000002</x:v>
      </x:c>
      <x:c r="F11" s="16" t="str">
        <x:v>Новая группа</x:v>
      </x:c>
    </x:row>
    <x:row r="12" ht="58" customHeight="1">
      <x:c r="A12" s="16" t="str">
        <x:v>Промышленная безопасность, пожарное оборудование и медицина</x:v>
      </x:c>
      <x:c r="B12" s="16" t="str">
        <x:v>Промбезопасность</x:v>
      </x:c>
      <x:c r="C12" s="16" t="n">
        <x:v>5</x:v>
      </x:c>
      <x:c r="D12" s="16" t="str">
        <x:v>ИА СГК-Новосибирск, Новосибирская ТЭЦ-3, Новосибирская ТЭЦ-4</x:v>
      </x:c>
      <x:c r="E12" s="17" t="n">
        <x:v>19194.5406</x:v>
      </x:c>
      <x:c r="F12" s="16" t="str">
        <x:v>Новая группа</x:v>
      </x:c>
    </x:row>
    <x:row r="13" ht="58" customHeight="1">
      <x:c r="A13" s="16" t="str">
        <x:v>Строительные материалы и ЖБИ</x:v>
      </x:c>
      <x:c r="B13" s="16" t="str">
        <x:v>Строительные материалы</x:v>
      </x:c>
      <x:c r="C13" s="16" t="n">
        <x:v>29</x:v>
      </x:c>
      <x:c r="D13" s="16" t="str">
        <x:v>Барабинская ТЭЦ, Новосибирская ТЭЦ-2, Новосибирская ТЭЦ-3, Новосибирская ТЭЦ-4, Новосибирская ТЭЦ-5, Новосибирская теплосетевая компания, Филиал «Тепловые сети»</x:v>
      </x:c>
      <x:c r="E13" s="17" t="n">
        <x:v>1341043.0716499996</x:v>
      </x:c>
      <x:c r="F13" s="16" t="str">
        <x:v>Существующая/расширенная группа</x:v>
      </x:c>
    </x:row>
    <x:row r="14" ht="58" customHeight="1">
      <x:c r="A14" s="16" t="str">
        <x:v>Трубы, фитинги, трубопроводная арматура и ОПС</x:v>
      </x:c>
      <x:c r="B14" s="16" t="str">
        <x:v>Трубы и фитинги</x:v>
      </x:c>
      <x:c r="C14" s="16" t="n">
        <x:v>151</x:v>
      </x:c>
      <x:c r="D14" s="16" t="str">
        <x:v>Барабинская ТЭЦ, ИА СГК-Новосибирск, Новосибирская ТЭЦ-2, Новосибирская ТЭЦ-3, Новосибирская ТЭЦ-4, Новосибирская ТЭЦ-5, Новосибирская теплосетевая компания, Филиал «Тепловые сети»</x:v>
      </x:c>
      <x:c r="E14" s="17" t="n">
        <x:v>601673.7356430006</x:v>
      </x:c>
      <x:c r="F14" s="16" t="str">
        <x:v>Существующая/расширенная группа</x:v>
      </x:c>
    </x:row>
    <x:row r="15" ht="58" customHeight="1">
      <x:c r="A15" s="16" t="str">
        <x:v>Металлопрокат, металлоконструкции и сварка</x:v>
      </x:c>
      <x:c r="B15" s="16" t="str">
        <x:v>Металлопрокат и сварка</x:v>
      </x:c>
      <x:c r="C15" s="16" t="n">
        <x:v>113</x:v>
      </x:c>
      <x:c r="D15" s="16" t="str">
        <x:v>Барабинская ТЭЦ, Новосибирская ТЭЦ-2, Новосибирская ТЭЦ-3, Новосибирская ТЭЦ-4, Новосибирская ТЭЦ-5, Новосибирская теплосетевая компания</x:v>
      </x:c>
      <x:c r="E15" s="17" t="n">
        <x:v>1294992.3807510005</x:v>
      </x:c>
      <x:c r="F15" s="16" t="str">
        <x:v>Существующая/расширенная группа</x:v>
      </x:c>
    </x:row>
    <x:row r="16" ht="58" customHeight="1">
      <x:c r="A16" s="16" t="str">
        <x:v>Кабельно-проводниковая продукция</x:v>
      </x:c>
      <x:c r="B16" s="16" t="str">
        <x:v>Кабельно-проводниковая</x:v>
      </x:c>
      <x:c r="C16" s="16" t="n">
        <x:v>59</x:v>
      </x:c>
      <x:c r="D16" s="16" t="str">
        <x:v>Барабинская ТЭЦ, ИА СГК-Новосибирск, Новосибирская ТЭЦ-2, Новосибирская ТЭЦ-3, Новосибирская ТЭЦ-4, Новосибирская ТЭЦ-5, Новосибирская теплосетевая компания, Филиал «Тепловые сети»</x:v>
      </x:c>
      <x:c r="E16" s="17" t="n">
        <x:v>581357.9011560002</x:v>
      </x:c>
      <x:c r="F16" s="16" t="str">
        <x:v>Существующая/расширенная группа</x:v>
      </x:c>
    </x:row>
    <x:row r="17" ht="58" customHeight="1">
      <x:c r="A17" s="16" t="str">
        <x:v>Электрооборудование, КИПиА и связь</x:v>
      </x:c>
      <x:c r="B17" s="16" t="str">
        <x:v>Электрооборудование</x:v>
      </x:c>
      <x:c r="C17" s="16" t="n">
        <x:v>81</x:v>
      </x:c>
      <x:c r="D17" s="16" t="str">
        <x:v>Барабинская ТЭЦ, ИА СГК-Новосибирск, Новосибирская ТЭЦ-2, Новосибирская ТЭЦ-3, Новосибирская ТЭЦ-4, Новосибирская ТЭЦ-5, Новосибирская теплосетевая компания, Филиал «Тепловые сети»</x:v>
      </x:c>
      <x:c r="E17" s="17" t="n">
        <x:v>1674637.8717528004</x:v>
      </x:c>
      <x:c r="F17" s="16" t="str">
        <x:v>Существующая/расширенная группа</x:v>
      </x:c>
    </x:row>
    <x:row r="18" ht="58" customHeight="1">
      <x:c r="A18" s="16" t="str">
        <x:v>МРО, механическое оборудование и ЗИП</x:v>
      </x:c>
      <x:c r="B18" s="16" t="str">
        <x:v>МРО механика и ЗИП</x:v>
      </x:c>
      <x:c r="C18" s="16" t="n">
        <x:v>87</x:v>
      </x:c>
      <x:c r="D18" s="16" t="str">
        <x:v>Барабинская ТЭЦ, Новосибирская ТЭЦ-2, Новосибирская ТЭЦ-3, Новосибирская ТЭЦ-4, Новосибирская ТЭЦ-5, Филиал «Тепловые сети»</x:v>
      </x:c>
      <x:c r="E18" s="17" t="n">
        <x:v>936648.26316</x:v>
      </x:c>
      <x:c r="F18" s="16" t="str">
        <x:v>Существующая/расширенная группа</x:v>
      </x:c>
    </x:row>
    <x:row r="19" ht="58" customHeight="1">
      <x:c r="A19" s="16" t="str">
        <x:v>Изоляция, РТИ, огнеупорные и кислотоупорные материалы</x:v>
      </x:c>
      <x:c r="B19" s="16" t="str">
        <x:v>Изоляция РТИ огнеупоры</x:v>
      </x:c>
      <x:c r="C19" s="16" t="n">
        <x:v>57</x:v>
      </x:c>
      <x:c r="D19" s="16" t="str">
        <x:v>Новосибирская ТЭЦ-2, Новосибирская ТЭЦ-3, Новосибирская ТЭЦ-4, Новосибирская ТЭЦ-5, Новосибирская теплосетевая компания, Филиал «Тепловые сети»</x:v>
      </x:c>
      <x:c r="E19" s="17" t="n">
        <x:v>260340.76496079998</x:v>
      </x:c>
      <x:c r="F19" s="16" t="str">
        <x:v>Существующая/расширенная группа</x:v>
      </x:c>
    </x:row>
    <x:row r="20" ht="58" customHeight="1">
      <x:c r="A20" s="16" t="str">
        <x:v>Химические материалы, ЛКМ и лаборатория</x:v>
      </x:c>
      <x:c r="B20" s="16" t="str">
        <x:v>Химматериалы</x:v>
      </x:c>
      <x:c r="C20" s="16" t="n">
        <x:v>11</x:v>
      </x:c>
      <x:c r="D20" s="16" t="str">
        <x:v>Барабинская ТЭЦ, Новосибирская ТЭЦ-2, Новосибирская ТЭЦ-3, Новосибирская ТЭЦ-4, Новосибирская ТЭЦ-5</x:v>
      </x:c>
      <x:c r="E20" s="17" t="n">
        <x:v>162026.067074</x:v>
      </x:c>
      <x:c r="F20" s="16" t="str">
        <x:v>Существующая/расширенная группа</x:v>
      </x:c>
    </x:row>
    <x:row r="21" ht="58" customHeight="1">
      <x:c r="A21" s="16" t="str">
        <x:v>Электрика и кабель</x:v>
      </x:c>
      <x:c r="B21" s="16" t="str">
        <x:v>Электрика и кабель</x:v>
      </x:c>
      <x:c r="C21" s="16" t="n">
        <x:v>49</x:v>
      </x:c>
      <x:c r="D21" s="16" t="str">
        <x:v>Барабинская ТЭЦ</x:v>
      </x:c>
      <x:c r="E21" s="17" t="n">
        <x:v>295824.6615760001</x:v>
      </x:c>
      <x:c r="F21" s="16" t="str">
        <x:v>Существующая/расширенная группа</x:v>
      </x:c>
    </x:row>
    <x:row r="22" ht="58" customHeight="1">
      <x:c r="A22" s="16" t="str">
        <x:v>Изоляция и уплотнения</x:v>
      </x:c>
      <x:c r="B22" s="16" t="str">
        <x:v>Изоляция и уплотнения</x:v>
      </x:c>
      <x:c r="C22" s="16" t="n">
        <x:v>3</x:v>
      </x:c>
      <x:c r="D22" s="16" t="str">
        <x:v>Барабинская ТЭЦ</x:v>
      </x:c>
      <x:c r="E22" s="17" t="n">
        <x:v>1599.7274400000001</x:v>
      </x:c>
      <x:c r="F22" s="16" t="str">
        <x:v>Существующая/расширенная группа</x:v>
      </x:c>
    </x:row>
    <x:row r="23" ht="58" customHeight="1">
      <x:c r="A23" s="16" t="str">
        <x:v>МРО, метизы и инструмент</x:v>
      </x:c>
      <x:c r="B23" s="16" t="str">
        <x:v>МРО метизы инструмент</x:v>
      </x:c>
      <x:c r="C23" s="16" t="n">
        <x:v>24</x:v>
      </x:c>
      <x:c r="D23" s="16" t="str">
        <x:v>Барабинская ТЭЦ</x:v>
      </x:c>
      <x:c r="E23" s="17" t="n">
        <x:v>27457.4703284</x:v>
      </x:c>
      <x:c r="F23" s="16" t="str">
        <x:v>Существующая/расширенная группа</x:v>
      </x:c>
    </x:row>
    <x:row r="24" ht="58" customHeight="1">
      <x:c r="A24" s="16" t="str">
        <x:v>Авто- и спецтехника: запасные части</x:v>
      </x:c>
      <x:c r="B24" s="16" t="str">
        <x:v>Авто и спецтехника</x:v>
      </x:c>
      <x:c r="C24" s="16" t="n">
        <x:v>5</x:v>
      </x:c>
      <x:c r="D24" s="16" t="str">
        <x:v>Новосибирская ТЭЦ-2, Новосибирская ТЭЦ-3, Новосибирская ТЭЦ-4, Новосибирская ТЭЦ-5</x:v>
      </x:c>
      <x:c r="E24" s="17" t="n">
        <x:v>48680.49368</x:v>
      </x:c>
      <x:c r="F24" s="16" t="str">
        <x:v>Существующая/расширенная группа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1bcbcdf14d2c450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КМП ТФП-110: N1 + N2, единый агрегат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Новосибирская ТЭЦ-5</x:v>
      </x:c>
      <x:c r="B5" s="16" t="str">
        <x:v>2000525641-Y114</x:v>
      </x:c>
      <x:c r="C5" s="16" t="str">
        <x:v>КМП N1 ЗАВ.N18043 ТФП-110 2УЗ</x:v>
      </x:c>
      <x:c r="D5" s="16" t="str">
        <x:v>Запасные части к турбогенераторам</x:v>
      </x:c>
      <x:c r="E5" s="16" t="str">
        <x:v>ШТ</x:v>
      </x:c>
      <x:c r="F5" s="21" t="n">
        <x:v>1</x:v>
      </x:c>
      <x:c r="G5" s="17" t="n">
        <x:v>45424274.701</x:v>
      </x:c>
      <x:c r="H5" s="17" t="n">
        <x:f>G5*F5</x:f>
        <x:v>45424274.701</x:v>
      </x:c>
      <x:c r="I5" s="22" t="str">
        <x:f>HYPERLINK("https://etp-aktiv.ru/catalog/materialy/zapasnye-chasti-osnovnogo-ehnergeticheskogo-oborudovaniya/2000525641-Y114/","Открыть позицию")</x:f>
        <x:v>Открыть позицию</x:v>
      </x:c>
    </x:row>
    <x:row r="6" ht="28" customHeight="1">
      <x:c r="A6" s="16" t="str">
        <x:v>Новосибирская ТЭЦ-5</x:v>
      </x:c>
      <x:c r="B6" s="16" t="str">
        <x:v>2000525642-Y114</x:v>
      </x:c>
      <x:c r="C6" s="16" t="str">
        <x:v>КМП N2 ЗАВ.N18043 ТФП-110 2УЗ</x:v>
      </x:c>
      <x:c r="D6" s="16" t="str">
        <x:v>Запасные части к турбогенераторам</x:v>
      </x:c>
      <x:c r="E6" s="16" t="str">
        <x:v>ШТ</x:v>
      </x:c>
      <x:c r="F6" s="21" t="n">
        <x:v>1</x:v>
      </x:c>
      <x:c r="G6" s="17" t="n">
        <x:v>4268619.6188</x:v>
      </x:c>
      <x:c r="H6" s="17" t="n">
        <x:f>G6*F6</x:f>
        <x:v>4268619.6188</x:v>
      </x:c>
      <x:c r="I6" s="22" t="str">
        <x:f>HYPERLINK("https://etp-aktiv.ru/catalog/materialy/zapasnye-chasti-osnovnogo-ehnergeticheskogo-oborudovaniya/2000525642-Y114/","Открыть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b11320aad6684f2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Пункт ЦТП: самостоятельное оборудование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Филиал «Тепловые сети»</x:v>
      </x:c>
      <x:c r="B5" s="16" t="str">
        <x:v>M5000076819-Y121</x:v>
      </x:c>
      <x:c r="C5" s="16" t="str">
        <x:v>ПУНКТ ЦТП БЛОЧН-МОДУЛ ТЗ 20-12/2.3-7-1</x:v>
      </x:c>
      <x:c r="D5" s="16" t="str">
        <x:v>Котельно-вспомогательное оборудование (КВО)</x:v>
      </x:c>
      <x:c r="E5" s="16" t="str">
        <x:v>ШТ</x:v>
      </x:c>
      <x:c r="F5" s="21" t="n">
        <x:v>1</x:v>
      </x:c>
      <x:c r="G5" s="17" t="n">
        <x:v>15908800</x:v>
      </x:c>
      <x:c r="H5" s="17" t="n">
        <x:f>G5*F5</x:f>
        <x:v>15908800</x:v>
      </x:c>
      <x:c r="I5" s="22" t="str">
        <x:f>HYPERLINK("https://etp-aktiv.ru/catalog/materialy/zapasnye-chasti-osnovnogo-ehnergeticheskogo-oborudovaniya/M5000076819-Y121/","Открыть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9de048388db4dd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Водоподготовка: самостоятельное оборудование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Новосибирская ТЭЦ-3</x:v>
      </x:c>
      <x:c r="B5" s="16" t="str">
        <x:v>M5000056336-Y112</x:v>
      </x:c>
      <x:c r="C5" s="16" t="str">
        <x:v>УСТРОЙСТВО ВОДЯНОЙ ОЧИСТКИ УВО-1.01</x:v>
      </x:c>
      <x:c r="D5" s="16" t="str">
        <x:v>Котельно-вспомогательное оборудование (КВО)</x:v>
      </x:c>
      <x:c r="E5" s="16" t="str">
        <x:v>ШТ</x:v>
      </x:c>
      <x:c r="F5" s="21" t="n">
        <x:v>0</x:v>
      </x:c>
      <x:c r="G5" s="17" t="n">
        <x:v>3111</x:v>
      </x:c>
      <x:c r="H5" s="17" t="n">
        <x:f>G5*F5</x:f>
        <x:v>0</x:v>
      </x:c>
      <x:c r="I5" s="22" t="str">
        <x:f>HYPERLINK("https://etp-aktiv.ru/catalog/materialy/zapasnye-chasti-osnovnogo-ehnergeticheskogo-oborudovaniya/M5000056336-Y112/","Открыть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94749e244a8474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ЗИП турбогенераторов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Новосибирская ТЭЦ-5</x:v>
      </x:c>
      <x:c r="B5" s="16" t="str">
        <x:v>M2000525674-Y114</x:v>
      </x:c>
      <x:c r="C5" s="16" t="str">
        <x:v>МАСЛОУЛАВИТЕЛЬ 5ТХ.377.574 ТГВ-200-2М</x:v>
      </x:c>
      <x:c r="D5" s="16" t="str">
        <x:v>Запасные части к турбогенераторам</x:v>
      </x:c>
      <x:c r="E5" s="16" t="str">
        <x:v>ШТ</x:v>
      </x:c>
      <x:c r="F5" s="21" t="n">
        <x:v>2</x:v>
      </x:c>
      <x:c r="G5" s="17" t="n">
        <x:v>3294</x:v>
      </x:c>
      <x:c r="H5" s="17" t="n">
        <x:f>G5*F5</x:f>
        <x:v>6588</x:v>
      </x:c>
      <x:c r="I5" s="22" t="str">
        <x:f>HYPERLINK("https://etp-aktiv.ru/catalog/materialy/zapasnye-chasti-osnovnogo-ehnergeticheskogo-oborudovaniya/M2000525674-Y114/","Открыть позицию")</x:f>
        <x:v>Открыть позицию</x:v>
      </x:c>
    </x:row>
    <x:row r="6" ht="28" customHeight="1">
      <x:c r="A6" s="16" t="str">
        <x:v>Новосибирская ТЭЦ-5</x:v>
      </x:c>
      <x:c r="B6" s="16" t="str">
        <x:v>2000525678-Y114</x:v>
      </x:c>
      <x:c r="C6" s="16" t="str">
        <x:v>ПАТРУБОК 302.581.001-01 ТГВ-200-2М</x:v>
      </x:c>
      <x:c r="D6" s="16" t="str">
        <x:v>Запасные части к турбогенераторам</x:v>
      </x:c>
      <x:c r="E6" s="16" t="str">
        <x:v>ШТ</x:v>
      </x:c>
      <x:c r="F6" s="21" t="n">
        <x:v>6</x:v>
      </x:c>
      <x:c r="G6" s="17" t="n">
        <x:v>8540</x:v>
      </x:c>
      <x:c r="H6" s="17" t="n">
        <x:f>G6*F6</x:f>
        <x:v>51240</x:v>
      </x:c>
      <x:c r="I6" s="22" t="str">
        <x:f>HYPERLINK("https://etp-aktiv.ru/catalog/materialy/zapasnye-chasti-osnovnogo-ehnergeticheskogo-oborudovaniya/2000525678-Y114/","Открыть позицию")</x:f>
        <x:v>Открыть позицию</x:v>
      </x:c>
    </x:row>
    <x:row r="7" ht="28" customHeight="1">
      <x:c r="A7" s="16" t="str">
        <x:v>Новосибирская ТЭЦ-5</x:v>
      </x:c>
      <x:c r="B7" s="16" t="str">
        <x:v>2000525680-Y114</x:v>
      </x:c>
      <x:c r="C7" s="16" t="str">
        <x:v>ПАТРУБОК 5ТХ.458.765 ТГВ-200-2М</x:v>
      </x:c>
      <x:c r="D7" s="16" t="str">
        <x:v>Запасные части к турбогенераторам</x:v>
      </x:c>
      <x:c r="E7" s="16" t="str">
        <x:v>ШТ</x:v>
      </x:c>
      <x:c r="F7" s="21" t="n">
        <x:v>26</x:v>
      </x:c>
      <x:c r="G7" s="17" t="n">
        <x:v>17080</x:v>
      </x:c>
      <x:c r="H7" s="17" t="n">
        <x:f>G7*F7</x:f>
        <x:v>444080</x:v>
      </x:c>
      <x:c r="I7" s="22" t="str">
        <x:f>HYPERLINK("https://etp-aktiv.ru/catalog/materialy/zapasnye-chasti-osnovnogo-ehnergeticheskogo-oborudovaniya/2000525680-Y114/","Открыть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3cb9902abc9a4dd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Котельно-вспомогательное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Новосибирская ТЭЦ-2</x:v>
      </x:c>
      <x:c r="B5" s="16" t="str">
        <x:v>2000940219-Y111</x:v>
      </x:c>
      <x:c r="C5" s="16" t="str">
        <x:v>ПАЛЕЦ ШПСУ 45С-02</x:v>
      </x:c>
      <x:c r="D5" s="16" t="str">
        <x:v>Запасные части к котельно-вспомогательному оборудованию</x:v>
      </x:c>
      <x:c r="E5" s="16" t="str">
        <x:v>ШТ</x:v>
      </x:c>
      <x:c r="F5" s="21" t="n">
        <x:v>12</x:v>
      </x:c>
      <x:c r="G5" s="17" t="n">
        <x:v>103.1998</x:v>
      </x:c>
      <x:c r="H5" s="17" t="n">
        <x:f>G5*F5</x:f>
        <x:v>1238.3976</x:v>
      </x:c>
      <x:c r="I5" s="22" t="str">
        <x:f>HYPERLINK("https://etp-aktiv.ru/catalog/materialy/zapasnye-chasti-osnovnogo-ehnergeticheskogo-oborudovaniya/2000940219-Y111/","Открыть позицию")</x:f>
        <x:v>Открыть позицию</x:v>
      </x:c>
    </x:row>
    <x:row r="6" ht="28" customHeight="1">
      <x:c r="A6" s="16" t="str">
        <x:v>Новосибирская ТЭЦ-2</x:v>
      </x:c>
      <x:c r="B6" s="16" t="str">
        <x:v>2000532152-Y111</x:v>
      </x:c>
      <x:c r="C6" s="16" t="str">
        <x:v>ЧЕРВЯК К-1389</x:v>
      </x:c>
      <x:c r="D6" s="16" t="str">
        <x:v>Запасные части к котельно-вспомогательному оборудованию</x:v>
      </x:c>
      <x:c r="E6" s="16" t="str">
        <x:v>ШТ</x:v>
      </x:c>
      <x:c r="F6" s="21" t="n">
        <x:v>2</x:v>
      </x:c>
      <x:c r="G6" s="17" t="n">
        <x:v>5745.223999999999</x:v>
      </x:c>
      <x:c r="H6" s="17" t="n">
        <x:f>G6*F6</x:f>
        <x:v>11490.447999999999</x:v>
      </x:c>
      <x:c r="I6" s="22" t="str">
        <x:f>HYPERLINK("https://etp-aktiv.ru/catalog/materialy/zapasnye-chasti-osnovnogo-ehnergeticheskogo-oborudovaniya/2000532152-Y111/","Открыть позицию")</x:f>
        <x:v>Открыть позицию</x:v>
      </x:c>
    </x:row>
    <x:row r="7" ht="28" customHeight="1">
      <x:c r="A7" s="16" t="str">
        <x:v>Новосибирская ТЭЦ-3</x:v>
      </x:c>
      <x:c r="B7" s="16" t="str">
        <x:v>2000532078-Y112</x:v>
      </x:c>
      <x:c r="C7" s="16" t="str">
        <x:v>МИГАЛКА К-2938</x:v>
      </x:c>
      <x:c r="D7" s="16" t="str">
        <x:v>Запасные части к котельно-вспомогательному оборудованию</x:v>
      </x:c>
      <x:c r="E7" s="16" t="str">
        <x:v>ШТ</x:v>
      </x:c>
      <x:c r="F7" s="21" t="n">
        <x:v>1</x:v>
      </x:c>
      <x:c r="G7" s="17" t="n">
        <x:v>1906.25</x:v>
      </x:c>
      <x:c r="H7" s="17" t="n">
        <x:f>G7*F7</x:f>
        <x:v>1906.25</x:v>
      </x:c>
      <x:c r="I7" s="22" t="str">
        <x:f>HYPERLINK("https://etp-aktiv.ru/catalog/materialy/zapasnye-chasti-osnovnogo-ehnergeticheskogo-oborudovaniya/2000532078-Y112/","Открыть позицию")</x:f>
        <x:v>Открыть позицию</x:v>
      </x:c>
    </x:row>
    <x:row r="8" ht="28" customHeight="1">
      <x:c r="A8" s="16" t="str">
        <x:v>Новосибирская ТЭЦ-3</x:v>
      </x:c>
      <x:c r="B8" s="16" t="str">
        <x:v>2000532079-Y112</x:v>
      </x:c>
      <x:c r="C8" s="16" t="str">
        <x:v>МОЛОТОК К-5786СБ</x:v>
      </x:c>
      <x:c r="D8" s="16" t="str">
        <x:v>Запасные части к котельно-вспомогательному оборудованию</x:v>
      </x:c>
      <x:c r="E8" s="16" t="str">
        <x:v>ШТ</x:v>
      </x:c>
      <x:c r="F8" s="21" t="n">
        <x:v>2</x:v>
      </x:c>
      <x:c r="G8" s="17" t="n">
        <x:v>3142.5126</x:v>
      </x:c>
      <x:c r="H8" s="17" t="n">
        <x:f>G8*F8</x:f>
        <x:v>6285.0252</x:v>
      </x:c>
      <x:c r="I8" s="22" t="str">
        <x:f>HYPERLINK("https://etp-aktiv.ru/catalog/materialy/zapasnye-chasti-osnovnogo-ehnergeticheskogo-oborudovaniya/2000532079-Y112/","Открыть позицию")</x:f>
        <x:v>Открыть позицию</x:v>
      </x:c>
    </x:row>
    <x:row r="9" ht="28" customHeight="1">
      <x:c r="A9" s="16" t="str">
        <x:v>Новосибирская ТЭЦ-3</x:v>
      </x:c>
      <x:c r="B9" s="16" t="str">
        <x:v>2000532126-Y112</x:v>
      </x:c>
      <x:c r="C9" s="16" t="str">
        <x:v>СОПЛО 57.К-7178</x:v>
      </x:c>
      <x:c r="D9" s="16" t="str">
        <x:v>Запасные части к котельно-вспомогательному оборудованию</x:v>
      </x:c>
      <x:c r="E9" s="16" t="str">
        <x:v>ШТ</x:v>
      </x:c>
      <x:c r="F9" s="21" t="n">
        <x:v>4</x:v>
      </x:c>
      <x:c r="G9" s="17" t="n">
        <x:v>14.64</x:v>
      </x:c>
      <x:c r="H9" s="17" t="n">
        <x:f>G9*F9</x:f>
        <x:v>58.56</x:v>
      </x:c>
      <x:c r="I9" s="22" t="str">
        <x:f>HYPERLINK("https://etp-aktiv.ru/catalog/materialy/zapasnye-chasti-osnovnogo-ehnergeticheskogo-oborudovaniya/2000532126-Y112/","Открыть позицию")</x:f>
        <x:v>Открыть позицию</x:v>
      </x:c>
    </x:row>
    <x:row r="10" ht="28" customHeight="1">
      <x:c r="A10" s="16" t="str">
        <x:v>Новосибирская ТЭЦ-4</x:v>
      </x:c>
      <x:c r="B10" s="16" t="str">
        <x:v>2000590362-Y113</x:v>
      </x:c>
      <x:c r="C10" s="16" t="str">
        <x:v>КРЮК Н-5560 N4 150ММ КРЕПЛЕНИЯ ОБМУРОВКИ</x:v>
      </x:c>
      <x:c r="D10" s="16" t="str">
        <x:v>Запасные части к котлам</x:v>
      </x:c>
      <x:c r="E10" s="16" t="str">
        <x:v>ШТ</x:v>
      </x:c>
      <x:c r="F10" s="21" t="n">
        <x:v>10</x:v>
      </x:c>
      <x:c r="G10" s="17" t="n">
        <x:v>543.9857999999999</x:v>
      </x:c>
      <x:c r="H10" s="17" t="n">
        <x:f>G10*F10</x:f>
        <x:v>5439.857999999999</x:v>
      </x:c>
      <x:c r="I10" s="22" t="str">
        <x:f>HYPERLINK("https://etp-aktiv.ru/catalog/materialy/zapasnye-chasti-osnovnogo-ehnergeticheskogo-oborudovaniya/2000590362-Y113/","Открыть позицию")</x:f>
        <x:v>Открыть позицию</x:v>
      </x:c>
    </x:row>
    <x:row r="11" ht="28" customHeight="1">
      <x:c r="A11" s="16" t="str">
        <x:v>Новосибирская ТЭЦ-5</x:v>
      </x:c>
      <x:c r="B11" s="16" t="str">
        <x:v>2000532207-Y114</x:v>
      </x:c>
      <x:c r="C11" s="16" t="str">
        <x:v>ВТУЛКА ЗАЩИТНАЯ 2262-02-00</x:v>
      </x:c>
      <x:c r="D11" s="16" t="str">
        <x:v>Запасные части к котельно-вспомогательному оборудованию</x:v>
      </x:c>
      <x:c r="E11" s="16" t="str">
        <x:v>ШТ</x:v>
      </x:c>
      <x:c r="F11" s="21" t="n">
        <x:v>1</x:v>
      </x:c>
      <x:c r="G11" s="17" t="n">
        <x:v>18.3</x:v>
      </x:c>
      <x:c r="H11" s="17" t="n">
        <x:f>G11*F11</x:f>
        <x:v>18.3</x:v>
      </x:c>
      <x:c r="I11" s="22" t="str">
        <x:f>HYPERLINK("https://etp-aktiv.ru/catalog/materialy/zapasnye-chasti-osnovnogo-ehnergeticheskogo-oborudovaniya/2000532207-Y114/","Открыть позицию")</x:f>
        <x:v>Открыть позицию</x:v>
      </x:c>
    </x:row>
    <x:row r="12" ht="28" customHeight="1">
      <x:c r="A12" s="16" t="str">
        <x:v>Новосибирская ТЭЦ-5</x:v>
      </x:c>
      <x:c r="B12" s="16" t="str">
        <x:v>2000649927-Y114</x:v>
      </x:c>
      <x:c r="C12" s="16" t="str">
        <x:v>ДУГА ОСТ24.962.02</x:v>
      </x:c>
      <x:c r="D12" s="16" t="str">
        <x:v>Запасные части к котельно-вспомогательному оборудованию</x:v>
      </x:c>
      <x:c r="E12" s="16" t="str">
        <x:v>ШТ</x:v>
      </x:c>
      <x:c r="F12" s="21" t="n">
        <x:v>8</x:v>
      </x:c>
      <x:c r="G12" s="17" t="n">
        <x:v>54.9</x:v>
      </x:c>
      <x:c r="H12" s="17" t="n">
        <x:f>G12*F12</x:f>
        <x:v>439.2</x:v>
      </x:c>
      <x:c r="I12" s="22" t="str">
        <x:f>HYPERLINK("https://etp-aktiv.ru/catalog/materialy/zapasnye-chasti-osnovnogo-ehnergeticheskogo-oborudovaniya/2000649927-Y114/","Открыть позицию")</x:f>
        <x:v>Открыть позицию</x:v>
      </x:c>
    </x:row>
    <x:row r="13" ht="28" customHeight="1">
      <x:c r="A13" s="16" t="str">
        <x:v>Новосибирская ТЭЦ-5</x:v>
      </x:c>
      <x:c r="B13" s="16" t="str">
        <x:v>2000532056-Y114</x:v>
      </x:c>
      <x:c r="C13" s="16" t="str">
        <x:v>КОЛЬЦО УПОРНОЕ 27.25.023</x:v>
      </x:c>
      <x:c r="D13" s="16" t="str">
        <x:v>Запасные части к котельно-вспомогательному оборудованию</x:v>
      </x:c>
      <x:c r="E13" s="16" t="str">
        <x:v>ШТ</x:v>
      </x:c>
      <x:c r="F13" s="21" t="n">
        <x:v>62</x:v>
      </x:c>
      <x:c r="G13" s="17" t="n">
        <x:v>3.66</x:v>
      </x:c>
      <x:c r="H13" s="17" t="n">
        <x:f>G13*F13</x:f>
        <x:v>226.92000000000002</x:v>
      </x:c>
      <x:c r="I13" s="22" t="str">
        <x:f>HYPERLINK("https://etp-aktiv.ru/catalog/materialy/zapasnye-chasti-osnovnogo-ehnergeticheskogo-oborudovaniya/2000532056-Y114/","Открыть позицию")</x:f>
        <x:v>Открыть позицию</x:v>
      </x:c>
    </x:row>
    <x:row r="14" ht="28" customHeight="1">
      <x:c r="A14" s="16" t="str">
        <x:v>Новосибирская ТЭЦ-5</x:v>
      </x:c>
      <x:c r="B14" s="16" t="str">
        <x:v>2000609263-Y114</x:v>
      </x:c>
      <x:c r="C14" s="16" t="str">
        <x:v>КОЛЬЦО УПОРНОЕ 47 ОРЦ.25.108</x:v>
      </x:c>
      <x:c r="D14" s="16" t="str">
        <x:v>Запасные части к котельно-вспомогательному оборудованию</x:v>
      </x:c>
      <x:c r="E14" s="16" t="str">
        <x:v>ШТ</x:v>
      </x:c>
      <x:c r="F14" s="21" t="n">
        <x:v>24</x:v>
      </x:c>
      <x:c r="G14" s="17" t="n">
        <x:v>36.6</x:v>
      </x:c>
      <x:c r="H14" s="17" t="n">
        <x:f>G14*F14</x:f>
        <x:v>878.4000000000001</x:v>
      </x:c>
      <x:c r="I14" s="22" t="str">
        <x:f>HYPERLINK("https://etp-aktiv.ru/catalog/materialy/zapasnye-chasti-osnovnogo-ehnergeticheskogo-oborudovaniya/2000609263-Y114/","Открыть позицию")</x:f>
        <x:v>Открыть позицию</x:v>
      </x:c>
    </x:row>
    <x:row r="15" ht="28" customHeight="1">
      <x:c r="A15" s="16" t="str">
        <x:v>Новосибирская ТЭЦ-5</x:v>
      </x:c>
      <x:c r="B15" s="16" t="str">
        <x:v>2000609223-Y114</x:v>
      </x:c>
      <x:c r="C15" s="16" t="str">
        <x:v>КРОНШТЕЙН МОЛОТКА ОРЦ.25.090.00СБ</x:v>
      </x:c>
      <x:c r="D15" s="16" t="str">
        <x:v>Запасные части к котельно-вспомогательному оборудованию</x:v>
      </x:c>
      <x:c r="E15" s="16" t="str">
        <x:v>ШТ</x:v>
      </x:c>
      <x:c r="F15" s="21" t="n">
        <x:v>22</x:v>
      </x:c>
      <x:c r="G15" s="17" t="n">
        <x:v>18.3</x:v>
      </x:c>
      <x:c r="H15" s="17" t="n">
        <x:f>G15*F15</x:f>
        <x:v>402.6</x:v>
      </x:c>
      <x:c r="I15" s="22" t="str">
        <x:f>HYPERLINK("https://etp-aktiv.ru/catalog/materialy/zapasnye-chasti-osnovnogo-ehnergeticheskogo-oborudovaniya/2000609223-Y114/","Открыть позицию")</x:f>
        <x:v>Открыть позицию</x:v>
      </x:c>
    </x:row>
    <x:row r="16" ht="28" customHeight="1">
      <x:c r="A16" s="16" t="str">
        <x:v>Новосибирская ТЭЦ-5</x:v>
      </x:c>
      <x:c r="B16" s="16" t="str">
        <x:v>2000609229-Y114</x:v>
      </x:c>
      <x:c r="C16" s="16" t="str">
        <x:v>КРЫШКА РЕДУКТОРА ОРЦ.25.044</x:v>
      </x:c>
      <x:c r="D16" s="16" t="str">
        <x:v>Запасные части к котельно-вспомогательному оборудованию</x:v>
      </x:c>
      <x:c r="E16" s="16" t="str">
        <x:v>ШТ</x:v>
      </x:c>
      <x:c r="F16" s="21" t="n">
        <x:v>48</x:v>
      </x:c>
      <x:c r="G16" s="17" t="n">
        <x:v>91.5</x:v>
      </x:c>
      <x:c r="H16" s="17" t="n">
        <x:f>G16*F16</x:f>
        <x:v>4392</x:v>
      </x:c>
      <x:c r="I16" s="22" t="str">
        <x:f>HYPERLINK("https://etp-aktiv.ru/catalog/materialy/zapasnye-chasti-osnovnogo-ehnergeticheskogo-oborudovaniya/2000609229-Y114/","Открыть позицию")</x:f>
        <x:v>Открыть позицию</x:v>
      </x:c>
    </x:row>
    <x:row r="17" ht="28" customHeight="1">
      <x:c r="A17" s="16" t="str">
        <x:v>Новосибирская ТЭЦ-5</x:v>
      </x:c>
      <x:c r="B17" s="16" t="str">
        <x:v>2000532310-Y114</x:v>
      </x:c>
      <x:c r="C17" s="16" t="str">
        <x:v>ПРУЖИНА ЦИЛИНДРИЧЕСКАЯ ЗЧ 1260-250-3</x:v>
      </x:c>
      <x:c r="D17" s="16" t="str">
        <x:v>Запасные части к котельно-вспомогательному оборудованию</x:v>
      </x:c>
      <x:c r="E17" s="16" t="str">
        <x:v>ШТ</x:v>
      </x:c>
      <x:c r="F17" s="21" t="n">
        <x:v>20</x:v>
      </x:c>
      <x:c r="G17" s="17" t="n">
        <x:v>18.3</x:v>
      </x:c>
      <x:c r="H17" s="17" t="n">
        <x:f>G17*F17</x:f>
        <x:v>366</x:v>
      </x:c>
      <x:c r="I17" s="22" t="str">
        <x:f>HYPERLINK("https://etp-aktiv.ru/catalog/materialy/zapasnye-chasti-osnovnogo-ehnergeticheskogo-oborudovaniya/2000532310-Y114/","Открыть позицию")</x:f>
        <x:v>Открыть позицию</x:v>
      </x:c>
    </x:row>
    <x:row r="18" ht="28" customHeight="1">
      <x:c r="A18" s="16" t="str">
        <x:v>Новосибирская ТЭЦ-5</x:v>
      </x:c>
      <x:c r="B18" s="16" t="str">
        <x:v>2000532121-Y114</x:v>
      </x:c>
      <x:c r="C18" s="16" t="str">
        <x:v>РОЛИК ЭКСЦЕНТРИКА ОРЦ.25.056</x:v>
      </x:c>
      <x:c r="D18" s="16" t="str">
        <x:v>Запасные части к котельно-вспомогательному оборудованию</x:v>
      </x:c>
      <x:c r="E18" s="16" t="str">
        <x:v>ШТ</x:v>
      </x:c>
      <x:c r="F18" s="21" t="n">
        <x:v>13</x:v>
      </x:c>
      <x:c r="G18" s="17" t="n">
        <x:v>9.15</x:v>
      </x:c>
      <x:c r="H18" s="17" t="n">
        <x:f>G18*F18</x:f>
        <x:v>118.95</x:v>
      </x:c>
      <x:c r="I18" s="22" t="str">
        <x:f>HYPERLINK("https://etp-aktiv.ru/catalog/materialy/zapasnye-chasti-osnovnogo-ehnergeticheskogo-oborudovaniya/2000532121-Y114/","Открыть позицию")</x:f>
        <x:v>Открыть позицию</x:v>
      </x:c>
    </x:row>
    <x:row r="19" ht="28" customHeight="1">
      <x:c r="A19" s="16" t="str">
        <x:v>Филиал «Тепловые сети»</x:v>
      </x:c>
      <x:c r="B19" s="16" t="str">
        <x:v>M2000725593-Y121</x:v>
      </x:c>
      <x:c r="C19" s="16" t="str">
        <x:v>БАК РАСШ FLAMCO FLEXCON R 1000 16903RU</x:v>
      </x:c>
      <x:c r="D19" s="16" t="str">
        <x:v>Запасные части к котельно-вспомогательному оборудованию</x:v>
      </x:c>
      <x:c r="E19" s="16" t="str">
        <x:v>ШТ</x:v>
      </x:c>
      <x:c r="F19" s="21" t="n">
        <x:v>1</x:v>
      </x:c>
      <x:c r="G19" s="17" t="n">
        <x:v>2671.7999999999997</x:v>
      </x:c>
      <x:c r="H19" s="17" t="n">
        <x:f>G19*F19</x:f>
        <x:v>2671.7999999999997</x:v>
      </x:c>
      <x:c r="I19" s="22" t="str">
        <x:f>HYPERLINK("https://etp-aktiv.ru/catalog/materialy/zapasnye-chasti-osnovnogo-ehnergeticheskogo-oborudovaniya/M2000725593-Y121/","Открыть позицию")</x:f>
        <x:v>Открыть позицию</x:v>
      </x:c>
    </x:row>
    <x:row r="20" ht="28" customHeight="1">
      <x:c r="A20" s="16" t="str">
        <x:v>Филиал «Тепловые сети»</x:v>
      </x:c>
      <x:c r="B20" s="16" t="str">
        <x:v>2000590830-Y121</x:v>
      </x:c>
      <x:c r="C20" s="16" t="str">
        <x:v>КОМПЕНСАТОР DУ80 05 ГИП-17-10-ТМ3 Л.10</x:v>
      </x:c>
      <x:c r="D20" s="16" t="str">
        <x:v>Запасные части к котельно-вспомогательному оборудованию</x:v>
      </x:c>
      <x:c r="E20" s="16" t="str">
        <x:v>ШТ</x:v>
      </x:c>
      <x:c r="F20" s="21" t="n">
        <x:v>6</x:v>
      </x:c>
      <x:c r="G20" s="17" t="n">
        <x:v>274.5</x:v>
      </x:c>
      <x:c r="H20" s="17" t="n">
        <x:f>G20*F20</x:f>
        <x:v>1647</x:v>
      </x:c>
      <x:c r="I20" s="22" t="str">
        <x:f>HYPERLINK("https://etp-aktiv.ru/catalog/materialy/zapasnye-chasti-osnovnogo-ehnergeticheskogo-oborudovaniya/2000590830-Y121/","Открыть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0d0fbf8e5a94706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Турбинное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Новосибирская ТЭЦ-2</x:v>
      </x:c>
      <x:c r="B5" s="16" t="str">
        <x:v>2000757742-Y111</x:v>
      </x:c>
      <x:c r="C5" s="16" t="str">
        <x:v>ПЛАСТИНА 72.3670.501 К-210 1582 1980 ЛМЗ</x:v>
      </x:c>
      <x:c r="D5" s="16" t="str">
        <x:v>Запасные части к турбинам</x:v>
      </x:c>
      <x:c r="E5" s="16" t="str">
        <x:v>ШТ</x:v>
      </x:c>
      <x:c r="F5" s="21" t="n">
        <x:v>24</x:v>
      </x:c>
      <x:c r="G5" s="17" t="n">
        <x:v>162.87</x:v>
      </x:c>
      <x:c r="H5" s="17" t="n">
        <x:f>G5*F5</x:f>
        <x:v>3908.88</x:v>
      </x:c>
      <x:c r="I5" s="22" t="str">
        <x:f>HYPERLINK("https://etp-aktiv.ru/catalog/materialy/zapasnye-chasti-osnovnogo-ehnergeticheskogo-oborudovaniya/2000757742-Y111/","Открыть позицию")</x:f>
        <x:v>Открыть позицию</x:v>
      </x:c>
    </x:row>
    <x:row r="6" ht="28" customHeight="1">
      <x:c r="A6" s="16" t="str">
        <x:v>Филиал «Тепловые сети»</x:v>
      </x:c>
      <x:c r="B6" s="16" t="str">
        <x:v>2000525856-Y121</x:v>
      </x:c>
      <x:c r="C6" s="16" t="str">
        <x:v>УПЛОТНЕНИЕ EPDMР 3900561428 Т/ОБМ M6М</x:v>
      </x:c>
      <x:c r="D6" s="16" t="str">
        <x:v>Запасные части к турбинно-вспомогательному оборудованию</x:v>
      </x:c>
      <x:c r="E6" s="16" t="str">
        <x:v>ШТ</x:v>
      </x:c>
      <x:c r="F6" s="21" t="n">
        <x:v>172</x:v>
      </x:c>
      <x:c r="G6" s="17" t="n">
        <x:v>97.1852</x:v>
      </x:c>
      <x:c r="H6" s="17" t="n">
        <x:f>G6*F6</x:f>
        <x:v>16715.8544</x:v>
      </x:c>
      <x:c r="I6" s="22" t="str">
        <x:f>HYPERLINK("https://etp-aktiv.ru/catalog/materialy/zapasnye-chasti-osnovnogo-ehnergeticheskogo-oborudovaniya/2000525856-Y121/","Открыть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b9faec75a2894bc3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Железнодорожное оборудование и материалы ВСП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Новосибирская ТЭЦ-2</x:v>
      </x:c>
      <x:c r="B5" s="16" t="str">
        <x:v>2000556071-Y111</x:v>
      </x:c>
      <x:c r="C5" s="16" t="str">
        <x:v>РЕЛЬС КР100-А ГОСТ4121-96</x:v>
      </x:c>
      <x:c r="D5" s="16" t="str">
        <x:v>Материалы ВСП</x:v>
      </x:c>
      <x:c r="E5" s="16" t="str">
        <x:v>Т</x:v>
      </x:c>
      <x:c r="F5" s="29" t="n">
        <x:v>0.266</x:v>
      </x:c>
      <x:c r="G5" s="17" t="n">
        <x:v>18300</x:v>
      </x:c>
      <x:c r="H5" s="17" t="n">
        <x:f>G5*F5</x:f>
        <x:v>4867.8</x:v>
      </x:c>
      <x:c r="I5" s="22" t="str">
        <x:f>HYPERLINK("https://etp-aktiv.ru/catalog/materialy/metalloprodukciya/2000556071-Y111/","Открыть позицию")</x:f>
        <x:v>Открыть позицию</x:v>
      </x:c>
    </x:row>
    <x:row r="6" ht="28" customHeight="1">
      <x:c r="A6" s="16" t="str">
        <x:v>Новосибирская ТЭЦ-2</x:v>
      </x:c>
      <x:c r="B6" s="16" t="str">
        <x:v>2000574501-Y111</x:v>
      </x:c>
      <x:c r="C6" s="16" t="str">
        <x:v>ШАЙБА ПРУЖИННАЯ ПУТЕВАЯ 24 ГОСТ19115</x:v>
      </x:c>
      <x:c r="D6" s="16" t="str">
        <x:v>Материалы ВСП</x:v>
      </x:c>
      <x:c r="E6" s="16" t="str">
        <x:v>КГ</x:v>
      </x:c>
      <x:c r="F6" s="30" t="n">
        <x:v>1.545</x:v>
      </x:c>
      <x:c r="G6" s="17" t="n">
        <x:v>86.4126</x:v>
      </x:c>
      <x:c r="H6" s="17" t="n">
        <x:f>G6*F6</x:f>
        <x:v>133.507467</x:v>
      </x:c>
      <x:c r="I6" s="22" t="str">
        <x:f>HYPERLINK("https://etp-aktiv.ru/catalog/materialy/metalloprodukciya/2000574501-Y111/","Открыть позицию")</x:f>
        <x:v>Открыть позицию</x:v>
      </x:c>
    </x:row>
    <x:row r="7" ht="28" customHeight="1">
      <x:c r="A7" s="16" t="str">
        <x:v>Новосибирская ТЭЦ-3</x:v>
      </x:c>
      <x:c r="B7" s="16" t="str">
        <x:v>2000556056-Y112</x:v>
      </x:c>
      <x:c r="C7" s="16" t="str">
        <x:v>БОЛТ СТЫК М27-8G*160.88 СТ35 ГОСТ11530</x:v>
      </x:c>
      <x:c r="D7" s="16" t="str">
        <x:v>Материалы ВСП</x:v>
      </x:c>
      <x:c r="E7" s="16" t="str">
        <x:v>КГ</x:v>
      </x:c>
      <x:c r="F7" s="30" t="n">
        <x:v>39.2</x:v>
      </x:c>
      <x:c r="G7" s="17" t="n">
        <x:v>18.3</x:v>
      </x:c>
      <x:c r="H7" s="17" t="n">
        <x:f>G7*F7</x:f>
        <x:v>717.3600000000001</x:v>
      </x:c>
      <x:c r="I7" s="22" t="str">
        <x:f>HYPERLINK("https://etp-aktiv.ru/catalog/materialy/metalloprodukciya/2000556056-Y112/","Открыть позицию")</x:f>
        <x:v>Открыть позицию</x:v>
      </x:c>
    </x:row>
    <x:row r="8" ht="28" customHeight="1">
      <x:c r="A8" s="16" t="str">
        <x:v>Новосибирская ТЭЦ-3</x:v>
      </x:c>
      <x:c r="B8" s="16" t="str">
        <x:v>2000556054-Y112</x:v>
      </x:c>
      <x:c r="C8" s="16" t="str">
        <x:v>ГАЙКА М22-7H*5 ГОСТ16018-2014</x:v>
      </x:c>
      <x:c r="D8" s="16" t="str">
        <x:v>Материалы ВСП</x:v>
      </x:c>
      <x:c r="E8" s="16" t="str">
        <x:v>КГ</x:v>
      </x:c>
      <x:c r="F8" s="21" t="n">
        <x:v>81</x:v>
      </x:c>
      <x:c r="G8" s="17" t="n">
        <x:v>18.3</x:v>
      </x:c>
      <x:c r="H8" s="17" t="n">
        <x:f>G8*F8</x:f>
        <x:v>1482.3</x:v>
      </x:c>
      <x:c r="I8" s="22" t="str">
        <x:f>HYPERLINK("https://etp-aktiv.ru/catalog/materialy/metalloprodukciya/2000556054-Y112/","Открыть позицию")</x:f>
        <x:v>Открыть позицию</x:v>
      </x:c>
    </x:row>
    <x:row r="9" ht="28" customHeight="1">
      <x:c r="A9" s="16" t="str">
        <x:v>Новосибирская ТЭЦ-3</x:v>
      </x:c>
      <x:c r="B9" s="16" t="str">
        <x:v>2000556072-Y112</x:v>
      </x:c>
      <x:c r="C9" s="16" t="str">
        <x:v>РЕЛЬС КР80-А ГОСТ4121-96</x:v>
      </x:c>
      <x:c r="D9" s="16" t="str">
        <x:v>Материалы ВСП</x:v>
      </x:c>
      <x:c r="E9" s="16" t="str">
        <x:v>Т</x:v>
      </x:c>
      <x:c r="F9" s="29" t="n">
        <x:v>0.246</x:v>
      </x:c>
      <x:c r="G9" s="17" t="n">
        <x:v>18300</x:v>
      </x:c>
      <x:c r="H9" s="17" t="n">
        <x:f>G9*F9</x:f>
        <x:v>4501.8</x:v>
      </x:c>
      <x:c r="I9" s="22" t="str">
        <x:f>HYPERLINK("https://etp-aktiv.ru/catalog/materialy/metalloprodukciya/2000556072-Y112/","Открыть позицию")</x:f>
        <x:v>Открыть позицию</x:v>
      </x:c>
    </x:row>
    <x:row r="10" ht="28" customHeight="1">
      <x:c r="A10" s="16" t="str">
        <x:v>Новосибирская ТЭЦ-5</x:v>
      </x:c>
      <x:c r="B10" s="16" t="str">
        <x:v>2000556083-Y114</x:v>
      </x:c>
      <x:c r="C10" s="16" t="str">
        <x:v>ШАЙБА ПРУЖИННАЯ ПУТЕВАЯ 27 ГОСТ19115-91</x:v>
      </x:c>
      <x:c r="D10" s="16" t="str">
        <x:v>Материалы ВСП</x:v>
      </x:c>
      <x:c r="E10" s="16" t="str">
        <x:v>КГ</x:v>
      </x:c>
      <x:c r="F10" s="30" t="n">
        <x:v>10.4</x:v>
      </x:c>
      <x:c r="G10" s="17" t="n">
        <x:v>67.5026</x:v>
      </x:c>
      <x:c r="H10" s="17" t="n">
        <x:f>G10*F10</x:f>
        <x:v>702.02704</x:v>
      </x:c>
      <x:c r="I10" s="22" t="str">
        <x:f>HYPERLINK("https://etp-aktiv.ru/catalog/materialy/metalloprodukciya/2000556083-Y114/","Открыть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cd41c3cfead4240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Промышленная безопасность, пожарное оборудование и медицина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ИА СГК-Новосибирск</x:v>
      </x:c>
      <x:c r="B5" s="16" t="str">
        <x:v>2000527087-Y101</x:v>
      </x:c>
      <x:c r="C5" s="16" t="str">
        <x:v>КМП МОНТАЖНЫЙ УСТАН ИЗВЕЩ RMK-400AP(-IV)</x:v>
      </x:c>
      <x:c r="D5" s="16" t="str">
        <x:v>Запасные части к противопожарному оборудованию</x:v>
      </x:c>
      <x:c r="E5" s="16" t="str">
        <x:v>НАБ</x:v>
      </x:c>
      <x:c r="F5" s="21" t="n">
        <x:v>1</x:v>
      </x:c>
      <x:c r="G5" s="17" t="n">
        <x:v>23.3264</x:v>
      </x:c>
      <x:c r="H5" s="17" t="n">
        <x:f>G5*F5</x:f>
        <x:v>23.3264</x:v>
      </x:c>
      <x:c r="I5" s="22" t="str">
        <x:f>HYPERLINK("https://etp-aktiv.ru/catalog/materialy/protivopozharnye-materialy/2000527087-Y101/","Открыть позицию")</x:f>
        <x:v>Открыть позицию</x:v>
      </x:c>
    </x:row>
    <x:row r="6" ht="28" customHeight="1">
      <x:c r="A6" s="16" t="str">
        <x:v>ИА СГК-Новосибирск</x:v>
      </x:c>
      <x:c r="B6" s="16" t="str">
        <x:v>2000524265-Y101</x:v>
      </x:c>
      <x:c r="C6" s="16" t="str">
        <x:v>ОСНОВАНИЕ БАЗОВОЕ B501AP-IV</x:v>
      </x:c>
      <x:c r="D6" s="16" t="str">
        <x:v>Запасные части к противопожарному оборудованию</x:v>
      </x:c>
      <x:c r="E6" s="16" t="str">
        <x:v>ШТ</x:v>
      </x:c>
      <x:c r="F6" s="21" t="n">
        <x:v>1</x:v>
      </x:c>
      <x:c r="G6" s="17" t="n">
        <x:v>26.1446</x:v>
      </x:c>
      <x:c r="H6" s="17" t="n">
        <x:f>G6*F6</x:f>
        <x:v>26.1446</x:v>
      </x:c>
      <x:c r="I6" s="22" t="str">
        <x:f>HYPERLINK("https://etp-aktiv.ru/catalog/materialy/protivopozharnye-materialy/2000524265-Y101/","Открыть позицию")</x:f>
        <x:v>Открыть позицию</x:v>
      </x:c>
    </x:row>
    <x:row r="7" ht="28" customHeight="1">
      <x:c r="A7" s="16" t="str">
        <x:v>Новосибирская ТЭЦ-3</x:v>
      </x:c>
      <x:c r="B7" s="16" t="str">
        <x:v>2000785153-Y112</x:v>
      </x:c>
      <x:c r="C7" s="16" t="str">
        <x:v>ОГНЕТУШИТЕЛЬ ОВЭ-5(3)-ABCE СТАЛЬ</x:v>
      </x:c>
      <x:c r="D7" s="16" t="str">
        <x:v>Противопожарные материалы специализированные и под заказ</x:v>
      </x:c>
      <x:c r="E7" s="16" t="str">
        <x:v>ШТ</x:v>
      </x:c>
      <x:c r="F7" s="21" t="n">
        <x:v>2</x:v>
      </x:c>
      <x:c r="G7" s="17" t="n">
        <x:v>5699.9986</x:v>
      </x:c>
      <x:c r="H7" s="17" t="n">
        <x:f>G7*F7</x:f>
        <x:v>11399.9972</x:v>
      </x:c>
      <x:c r="I7" s="22" t="str">
        <x:f>HYPERLINK("https://etp-aktiv.ru/catalog/materialy/protivopozharnye-materialy/2000785153-Y112/","Открыть позицию")</x:f>
        <x:v>Открыть позицию</x:v>
      </x:c>
    </x:row>
    <x:row r="8" ht="28" customHeight="1">
      <x:c r="A8" s="16" t="str">
        <x:v>Новосибирская ТЭЦ-4</x:v>
      </x:c>
      <x:c r="B8" s="16" t="str">
        <x:v>2000538785-Y113</x:v>
      </x:c>
      <x:c r="C8" s="16" t="str">
        <x:v>БЛОК СЕНСОРН АЛКОТЕСТЕРОВ ДИНГО В-01/-02</x:v>
      </x:c>
      <x:c r="D8" s="16" t="str">
        <x:v>Медикаменты и продукция медицинского назначения</x:v>
      </x:c>
      <x:c r="E8" s="16" t="str">
        <x:v>ШТ</x:v>
      </x:c>
      <x:c r="F8" s="21" t="n">
        <x:v>1</x:v>
      </x:c>
      <x:c r="G8" s="17" t="n">
        <x:v>7007.9484</x:v>
      </x:c>
      <x:c r="H8" s="17" t="n">
        <x:f>G8*F8</x:f>
        <x:v>7007.9484</x:v>
      </x:c>
      <x:c r="I8" s="22" t="str">
        <x:f>HYPERLINK("https://etp-aktiv.ru/catalog/materialy/medikamenty-i-produkciya-medicinskogo-naznacheniya/2000538785-Y113/","Открыть позицию")</x:f>
        <x:v>Открыть позицию</x:v>
      </x:c>
    </x:row>
    <x:row r="9" ht="28" customHeight="1">
      <x:c r="A9" s="16" t="str">
        <x:v>Новосибирская ТЭЦ-4</x:v>
      </x:c>
      <x:c r="B9" s="16" t="str">
        <x:v>2000888121-Y113</x:v>
      </x:c>
      <x:c r="C9" s="16" t="str">
        <x:v>МУНДШТУК Д/АЛКОТЕСТЕРА ДИНГО В-01/В-02</x:v>
      </x:c>
      <x:c r="D9" s="16" t="str">
        <x:v>Медикаменты и продукция медицинского назначения</x:v>
      </x:c>
      <x:c r="E9" s="16" t="str">
        <x:v>ШТ</x:v>
      </x:c>
      <x:c r="F9" s="21" t="n">
        <x:v>10</x:v>
      </x:c>
      <x:c r="G9" s="17" t="n">
        <x:v>73.7124</x:v>
      </x:c>
      <x:c r="H9" s="17" t="n">
        <x:f>G9*F9</x:f>
        <x:v>737.124</x:v>
      </x:c>
      <x:c r="I9" s="22" t="str">
        <x:f>HYPERLINK("https://etp-aktiv.ru/catalog/materialy/medikamenty-i-produkciya-medicinskogo-naznacheniya/2000888121-Y113/","Открыть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7e49d30dfda84db6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Строительные материалы и ЖБИ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2000566759-Y115</x:v>
      </x:c>
      <x:c r="C5" s="16" t="str">
        <x:v>ПЕРЕМЫЧКА 5ПБ 25-37 2460*250*220 ГОСТ948</x:v>
      </x:c>
      <x:c r="D5" s="16" t="str">
        <x:v>Железобетонные изделия</x:v>
      </x:c>
      <x:c r="E5" s="16" t="str">
        <x:v>ШТ</x:v>
      </x:c>
      <x:c r="F5" s="21" t="n">
        <x:v>1</x:v>
      </x:c>
      <x:c r="G5" s="17" t="n">
        <x:v>346.7728</x:v>
      </x:c>
      <x:c r="H5" s="17" t="n">
        <x:f>G5*F5</x:f>
        <x:v>346.7728</x:v>
      </x:c>
      <x:c r="I5" s="22" t="str">
        <x:f>HYPERLINK("https://etp-aktiv.ru/catalog/materialy/stroitelnye-materialy/2000566759-Y115/","Открыть позицию")</x:f>
        <x:v>Открыть позицию</x:v>
      </x:c>
    </x:row>
    <x:row r="6" ht="28" customHeight="1">
      <x:c r="A6" s="16" t="str">
        <x:v>Барабинская ТЭЦ</x:v>
      </x:c>
      <x:c r="B6" s="16" t="str">
        <x:v>2000160322-Y115</x:v>
      </x:c>
      <x:c r="C6" s="16" t="str">
        <x:v>ПЛИТА ПО-2 С.3.006.1-2/87</x:v>
      </x:c>
      <x:c r="D6" s="16" t="str">
        <x:v>Железобетонные изделия</x:v>
      </x:c>
      <x:c r="E6" s="16" t="str">
        <x:v>ШТ</x:v>
      </x:c>
      <x:c r="F6" s="21" t="n">
        <x:v>4</x:v>
      </x:c>
      <x:c r="G6" s="17" t="n">
        <x:v>8008.446</x:v>
      </x:c>
      <x:c r="H6" s="17" t="n">
        <x:f>G6*F6</x:f>
        <x:v>32033.784</x:v>
      </x:c>
      <x:c r="I6" s="22" t="str">
        <x:f>HYPERLINK("https://etp-aktiv.ru/catalog/materialy/stroitelnye-materialy/2000160322-Y115/","Открыть позицию")</x:f>
        <x:v>Открыть позицию</x:v>
      </x:c>
    </x:row>
    <x:row r="7" ht="28" customHeight="1">
      <x:c r="A7" s="16" t="str">
        <x:v>Барабинская ТЭЦ</x:v>
      </x:c>
      <x:c r="B7" s="16" t="str">
        <x:v>2000557183-Y115</x:v>
      </x:c>
      <x:c r="C7" s="16" t="str">
        <x:v>ПЛИТА ПП 10-1-2Б С.3.820-9 В.1</x:v>
      </x:c>
      <x:c r="D7" s="16" t="str">
        <x:v>Железобетонные изделия</x:v>
      </x:c>
      <x:c r="E7" s="16" t="str">
        <x:v>ШТ</x:v>
      </x:c>
      <x:c r="F7" s="21" t="n">
        <x:v>4</x:v>
      </x:c>
      <x:c r="G7" s="17" t="n">
        <x:v>2648.6931999999997</x:v>
      </x:c>
      <x:c r="H7" s="17" t="n">
        <x:f>G7*F7</x:f>
        <x:v>10594.772799999999</x:v>
      </x:c>
      <x:c r="I7" s="22" t="str">
        <x:f>HYPERLINK("https://etp-aktiv.ru/catalog/materialy/stroitelnye-materialy/2000557183-Y115/","Открыть позицию")</x:f>
        <x:v>Открыть позицию</x:v>
      </x:c>
    </x:row>
    <x:row r="8" ht="28" customHeight="1">
      <x:c r="A8" s="16" t="str">
        <x:v>Барабинская ТЭЦ</x:v>
      </x:c>
      <x:c r="B8" s="16" t="str">
        <x:v>2000557256-Y115</x:v>
      </x:c>
      <x:c r="C8" s="16" t="str">
        <x:v>ПОДУШКА ОПОРНАЯ ОП-5 С.3.006.1-2.87.2-60</x:v>
      </x:c>
      <x:c r="D8" s="16" t="str">
        <x:v>Железобетонные изделия</x:v>
      </x:c>
      <x:c r="E8" s="16" t="str">
        <x:v>ШТ</x:v>
      </x:c>
      <x:c r="F8" s="21" t="n">
        <x:v>7</x:v>
      </x:c>
      <x:c r="G8" s="17" t="n">
        <x:v>487.28020000000004</x:v>
      </x:c>
      <x:c r="H8" s="17" t="n">
        <x:f>G8*F8</x:f>
        <x:v>3410.9614</x:v>
      </x:c>
      <x:c r="I8" s="22" t="str">
        <x:f>HYPERLINK("https://etp-aktiv.ru/catalog/materialy/stroitelnye-materialy/2000557256-Y115/","Открыть позицию")</x:f>
        <x:v>Открыть позицию</x:v>
      </x:c>
    </x:row>
    <x:row r="9" ht="28" customHeight="1">
      <x:c r="A9" s="16" t="str">
        <x:v>Новосибирская ТЭЦ-2</x:v>
      </x:c>
      <x:c r="B9" s="16" t="str">
        <x:v>2000551419-Y111</x:v>
      </x:c>
      <x:c r="C9" s="16" t="str">
        <x:v>ДЮБЕЛЬ-ГВОЗДЬ OMAX 8*100</x:v>
      </x:c>
      <x:c r="D9" s="16" t="str">
        <x:v>Строительные материалы прочие</x:v>
      </x:c>
      <x:c r="E9" s="16" t="str">
        <x:v>ШТ</x:v>
      </x:c>
      <x:c r="F9" s="21" t="n">
        <x:v>5</x:v>
      </x:c>
      <x:c r="G9" s="17" t="n">
        <x:v>6.6002</x:v>
      </x:c>
      <x:c r="H9" s="17" t="n">
        <x:f>G9*F9</x:f>
        <x:v>33.001</x:v>
      </x:c>
      <x:c r="I9" s="22" t="str">
        <x:f>HYPERLINK("https://etp-aktiv.ru/catalog/materialy/stroitelnye-materialy/2000551419-Y111/","Открыть позицию")</x:f>
        <x:v>Открыть позицию</x:v>
      </x:c>
    </x:row>
    <x:row r="10" ht="28" customHeight="1">
      <x:c r="A10" s="16" t="str">
        <x:v>Новосибирская ТЭЦ-2</x:v>
      </x:c>
      <x:c r="B10" s="16" t="str">
        <x:v>2000324028-Y111</x:v>
      </x:c>
      <x:c r="C10" s="16" t="str">
        <x:v>ОТВЕРДИТЕЛЬ Е-40 30Г</x:v>
      </x:c>
      <x:c r="D10" s="16" t="str">
        <x:v>Строительные материалы прочие</x:v>
      </x:c>
      <x:c r="E10" s="16" t="str">
        <x:v>ШТ</x:v>
      </x:c>
      <x:c r="F10" s="21" t="n">
        <x:v>2</x:v>
      </x:c>
      <x:c r="G10" s="17" t="n">
        <x:v>308.8064</x:v>
      </x:c>
      <x:c r="H10" s="17" t="n">
        <x:f>G10*F10</x:f>
        <x:v>617.6128</x:v>
      </x:c>
      <x:c r="I10" s="22" t="str">
        <x:f>HYPERLINK("https://etp-aktiv.ru/catalog/materialy/stroitelnye-materialy/2000324028-Y111/","Открыть позицию")</x:f>
        <x:v>Открыть позицию</x:v>
      </x:c>
    </x:row>
    <x:row r="11" ht="28" customHeight="1">
      <x:c r="A11" s="16" t="str">
        <x:v>Новосибирская ТЭЦ-3</x:v>
      </x:c>
      <x:c r="B11" s="16" t="str">
        <x:v>2000551363-Y112</x:v>
      </x:c>
      <x:c r="C11" s="16" t="str">
        <x:v>АНКЕР-БОЛТ TECH-KREP HBM 10*120</x:v>
      </x:c>
      <x:c r="D11" s="16" t="str">
        <x:v>Строительные материалы прочие</x:v>
      </x:c>
      <x:c r="E11" s="16" t="str">
        <x:v>ШТ</x:v>
      </x:c>
      <x:c r="F11" s="21" t="n">
        <x:v>20</x:v>
      </x:c>
      <x:c r="G11" s="17" t="n">
        <x:v>2.196</x:v>
      </x:c>
      <x:c r="H11" s="17" t="n">
        <x:f>G11*F11</x:f>
        <x:v>43.92</x:v>
      </x:c>
      <x:c r="I11" s="22" t="str">
        <x:f>HYPERLINK("https://etp-aktiv.ru/catalog/materialy/stroitelnye-materialy/2000551363-Y112/","Открыть позицию")</x:f>
        <x:v>Открыть позицию</x:v>
      </x:c>
    </x:row>
    <x:row r="12" ht="28" customHeight="1">
      <x:c r="A12" s="16" t="str">
        <x:v>Новосибирская ТЭЦ-3</x:v>
      </x:c>
      <x:c r="B12" s="16" t="str">
        <x:v>2000777142-Y112</x:v>
      </x:c>
      <x:c r="C12" s="16" t="str">
        <x:v>ДЮБЕЛЬ СКЛАДНОЙ ПУСТОТНЫЙ HM 4*32 S 50ШТ</x:v>
      </x:c>
      <x:c r="D12" s="16" t="str">
        <x:v>Строительные материалы прочие</x:v>
      </x:c>
      <x:c r="E12" s="16" t="str">
        <x:v>ШТ</x:v>
      </x:c>
      <x:c r="F12" s="21" t="n">
        <x:v>50</x:v>
      </x:c>
      <x:c r="G12" s="17" t="n">
        <x:v>65.0016</x:v>
      </x:c>
      <x:c r="H12" s="17" t="n">
        <x:f>G12*F12</x:f>
        <x:v>3250.08</x:v>
      </x:c>
      <x:c r="I12" s="22" t="str">
        <x:f>HYPERLINK("https://etp-aktiv.ru/catalog/materialy/stroitelnye-materialy/2000777142-Y112/","Открыть позицию")</x:f>
        <x:v>Открыть позицию</x:v>
      </x:c>
    </x:row>
    <x:row r="13" ht="28" customHeight="1">
      <x:c r="A13" s="16" t="str">
        <x:v>Новосибирская ТЭЦ-3</x:v>
      </x:c>
      <x:c r="B13" s="16" t="str">
        <x:v>2000717721-Y112</x:v>
      </x:c>
      <x:c r="C13" s="16" t="str">
        <x:v>ПОРОШОК АБРАЗИВНЫЙ КУПЕРШЛАК 0,5-2,5</x:v>
      </x:c>
      <x:c r="D13" s="16" t="str">
        <x:v>Щебень, гравий</x:v>
      </x:c>
      <x:c r="E13" s="16" t="str">
        <x:v>Т</x:v>
      </x:c>
      <x:c r="F13" s="21" t="n">
        <x:v>3</x:v>
      </x:c>
      <x:c r="G13" s="17" t="n">
        <x:v>2506.734</x:v>
      </x:c>
      <x:c r="H13" s="17" t="n">
        <x:f>G13*F13</x:f>
        <x:v>7520.201999999999</x:v>
      </x:c>
      <x:c r="I13" s="22" t="str">
        <x:f>HYPERLINK("https://etp-aktiv.ru/catalog/materialy/stroitelnye-materialy/2000717721-Y112/","Открыть позицию")</x:f>
        <x:v>Открыть позицию</x:v>
      </x:c>
    </x:row>
    <x:row r="14" ht="28" customHeight="1">
      <x:c r="A14" s="16" t="str">
        <x:v>Новосибирская ТЭЦ-3</x:v>
      </x:c>
      <x:c r="B14" s="16" t="str">
        <x:v>2000446609-Y112</x:v>
      </x:c>
      <x:c r="C14" s="16" t="str">
        <x:v>СЕРПЯНКА УПРАВДОМ 243100-05-130 5СМ*130М</x:v>
      </x:c>
      <x:c r="D14" s="16" t="str">
        <x:v>Строительные материалы прочие</x:v>
      </x:c>
      <x:c r="E14" s="16" t="str">
        <x:v>ШТ</x:v>
      </x:c>
      <x:c r="F14" s="21" t="n">
        <x:v>2</x:v>
      </x:c>
      <x:c r="G14" s="17" t="n">
        <x:v>35.514199999999995</x:v>
      </x:c>
      <x:c r="H14" s="17" t="n">
        <x:f>G14*F14</x:f>
        <x:v>71.02839999999999</x:v>
      </x:c>
      <x:c r="I14" s="22" t="str">
        <x:f>HYPERLINK("https://etp-aktiv.ru/catalog/materialy/stroitelnye-materialy/2000446609-Y112/","Открыть позицию")</x:f>
        <x:v>Открыть позицию</x:v>
      </x:c>
    </x:row>
    <x:row r="15" ht="28" customHeight="1">
      <x:c r="A15" s="16" t="str">
        <x:v>Новосибирская ТЭЦ-4</x:v>
      </x:c>
      <x:c r="B15" s="16" t="str">
        <x:v>2000631569-Y113</x:v>
      </x:c>
      <x:c r="C15" s="16" t="str">
        <x:v>ДЮБЕЛЬ ГЕФЕСТ КФСТ.735322.096 305*90*15</x:v>
      </x:c>
      <x:c r="D15" s="16" t="str">
        <x:v>Строительные материалы прочие</x:v>
      </x:c>
      <x:c r="E15" s="16" t="str">
        <x:v>УПК</x:v>
      </x:c>
      <x:c r="F15" s="21" t="n">
        <x:v>71</x:v>
      </x:c>
      <x:c r="G15" s="17" t="n">
        <x:v>402.8806</x:v>
      </x:c>
      <x:c r="H15" s="17" t="n">
        <x:f>G15*F15</x:f>
        <x:v>28604.5226</x:v>
      </x:c>
      <x:c r="I15" s="22" t="str">
        <x:f>HYPERLINK("https://etp-aktiv.ru/catalog/materialy/stroitelnye-materialy/2000631569-Y113/","Открыть позицию")</x:f>
        <x:v>Открыть позицию</x:v>
      </x:c>
    </x:row>
    <x:row r="16" ht="28" customHeight="1">
      <x:c r="A16" s="16" t="str">
        <x:v>Новосибирская ТЭЦ-4</x:v>
      </x:c>
      <x:c r="B16" s="16" t="str">
        <x:v>2000581543-Y113</x:v>
      </x:c>
      <x:c r="C16" s="16" t="str">
        <x:v>ШТУЦЕР СОЕД КОНУС К3/4"-S32 3/4"-М27*1,5</x:v>
      </x:c>
      <x:c r="D16" s="16" t="str">
        <x:v>Запасные части к дорожно-строительной технике менее 20тн</x:v>
      </x:c>
      <x:c r="E16" s="16" t="str">
        <x:v>ШТ</x:v>
      </x:c>
      <x:c r="F16" s="21" t="n">
        <x:v>40</x:v>
      </x:c>
      <x:c r="G16" s="17" t="n">
        <x:v>3.66</x:v>
      </x:c>
      <x:c r="H16" s="17" t="n">
        <x:f>G16*F16</x:f>
        <x:v>146.4</x:v>
      </x:c>
      <x:c r="I16" s="22" t="str">
        <x:f>HYPERLINK("https://etp-aktiv.ru/catalog/materialy/zapasnye-chasti-k-dorozhno-stroitelnoj-tekhnike/2000581543-Y113/","Открыть позицию")</x:f>
        <x:v>Открыть позицию</x:v>
      </x:c>
    </x:row>
    <x:row r="17" ht="28" customHeight="1">
      <x:c r="A17" s="16" t="str">
        <x:v>Новосибирская ТЭЦ-5</x:v>
      </x:c>
      <x:c r="B17" s="16" t="str">
        <x:v>2000560902-Y114</x:v>
      </x:c>
      <x:c r="C17" s="16" t="str">
        <x:v>БЛОК Б-I/D600/B2,5/F25 ПОЛН 625*120*250</x:v>
      </x:c>
      <x:c r="D17" s="16" t="str">
        <x:v>Кирпич строительный</x:v>
      </x:c>
      <x:c r="E17" s="16" t="str">
        <x:v>М3</x:v>
      </x:c>
      <x:c r="F17" s="30" t="n">
        <x:v>1.687</x:v>
      </x:c>
      <x:c r="G17" s="17" t="n">
        <x:v>643.55</x:v>
      </x:c>
      <x:c r="H17" s="17" t="n">
        <x:f>G17*F17</x:f>
        <x:v>1085.66885</x:v>
      </x:c>
      <x:c r="I17" s="22" t="str">
        <x:f>HYPERLINK("https://etp-aktiv.ru/catalog/materialy/stroitelnye-materialy/2000560902-Y114/","Открыть позицию")</x:f>
        <x:v>Открыть позицию</x:v>
      </x:c>
    </x:row>
    <x:row r="18" ht="28" customHeight="1">
      <x:c r="A18" s="16" t="str">
        <x:v>Новосибирская ТЭЦ-5</x:v>
      </x:c>
      <x:c r="B18" s="16" t="str">
        <x:v>2000557184-Y114</x:v>
      </x:c>
      <x:c r="C18" s="16" t="str">
        <x:v>ПЛИТА ПП 15,4 С.1.238.1-2</x:v>
      </x:c>
      <x:c r="D18" s="16" t="str">
        <x:v>Железобетонные изделия</x:v>
      </x:c>
      <x:c r="E18" s="16" t="str">
        <x:v>ШТ</x:v>
      </x:c>
      <x:c r="F18" s="21" t="n">
        <x:v>2</x:v>
      </x:c>
      <x:c r="G18" s="17" t="n">
        <x:v>478.179</x:v>
      </x:c>
      <x:c r="H18" s="17" t="n">
        <x:f>G18*F18</x:f>
        <x:v>956.358</x:v>
      </x:c>
      <x:c r="I18" s="22" t="str">
        <x:f>HYPERLINK("https://etp-aktiv.ru/catalog/materialy/stroitelnye-materialy/2000557184-Y114/","Открыть позицию")</x:f>
        <x:v>Открыть позицию</x:v>
      </x:c>
    </x:row>
    <x:row r="19" ht="28" customHeight="1">
      <x:c r="A19" s="16" t="str">
        <x:v>Новосибирская ТЭЦ-5</x:v>
      </x:c>
      <x:c r="B19" s="16" t="str">
        <x:v>2000557185-Y114</x:v>
      </x:c>
      <x:c r="C19" s="16" t="str">
        <x:v>ПЛИТА ПП 15,5 С.1.238.1-3</x:v>
      </x:c>
      <x:c r="D19" s="16" t="str">
        <x:v>Железобетонные изделия</x:v>
      </x:c>
      <x:c r="E19" s="16" t="str">
        <x:v>ШТ</x:v>
      </x:c>
      <x:c r="F19" s="21" t="n">
        <x:v>2</x:v>
      </x:c>
      <x:c r="G19" s="17" t="n">
        <x:v>493.6852</x:v>
      </x:c>
      <x:c r="H19" s="17" t="n">
        <x:f>G19*F19</x:f>
        <x:v>987.3704</x:v>
      </x:c>
      <x:c r="I19" s="22" t="str">
        <x:f>HYPERLINK("https://etp-aktiv.ru/catalog/materialy/stroitelnye-materialy/2000557185-Y114/","Открыть позицию")</x:f>
        <x:v>Открыть позицию</x:v>
      </x:c>
    </x:row>
    <x:row r="20" ht="28" customHeight="1">
      <x:c r="A20" s="16" t="str">
        <x:v>Новосибирская теплосетевая компания</x:v>
      </x:c>
      <x:c r="B20" s="16" t="str">
        <x:v>2000020154-Y321</x:v>
      </x:c>
      <x:c r="C20" s="16" t="str">
        <x:v>БЛОК ФБС 24.6.6-Т ГОСТ13579-2018</x:v>
      </x:c>
      <x:c r="D20" s="16" t="str">
        <x:v>Железобетонные изделия</x:v>
      </x:c>
      <x:c r="E20" s="16" t="str">
        <x:v>ШТ</x:v>
      </x:c>
      <x:c r="F20" s="21" t="n">
        <x:v>2</x:v>
      </x:c>
      <x:c r="G20" s="17" t="n">
        <x:v>8837.0944</x:v>
      </x:c>
      <x:c r="H20" s="17" t="n">
        <x:f>G20*F20</x:f>
        <x:v>17674.1888</x:v>
      </x:c>
      <x:c r="I20" s="22" t="str">
        <x:f>HYPERLINK("https://etp-aktiv.ru/catalog/materialy/stroitelnye-materialy/2000020154-Y321/","Открыть позицию")</x:f>
        <x:v>Открыть позицию</x:v>
      </x:c>
    </x:row>
    <x:row r="21" ht="28" customHeight="1">
      <x:c r="A21" s="16" t="str">
        <x:v>Новосибирская теплосетевая компания</x:v>
      </x:c>
      <x:c r="B21" s="16" t="str">
        <x:v>2000083054-Y321</x:v>
      </x:c>
      <x:c r="C21" s="16" t="str">
        <x:v>КАМЕНЬ БОРДЮРНЫЙ БР 100.30.18</x:v>
      </x:c>
      <x:c r="D21" s="16" t="str">
        <x:v>Железобетонные изделия</x:v>
      </x:c>
      <x:c r="E21" s="16" t="str">
        <x:v>ШТ</x:v>
      </x:c>
      <x:c r="F21" s="21" t="n">
        <x:v>23</x:v>
      </x:c>
      <x:c r="G21" s="17" t="n">
        <x:v>100.9916</x:v>
      </x:c>
      <x:c r="H21" s="17" t="n">
        <x:f>G21*F21</x:f>
        <x:v>2322.8068000000003</x:v>
      </x:c>
      <x:c r="I21" s="22" t="str">
        <x:f>HYPERLINK("https://etp-aktiv.ru/catalog/materialy/stroitelnye-materialy/2000083054-Y321/","Открыть позицию")</x:f>
        <x:v>Открыть позицию</x:v>
      </x:c>
    </x:row>
    <x:row r="22" ht="28" customHeight="1">
      <x:c r="A22" s="16" t="str">
        <x:v>Новосибирская теплосетевая компания</x:v>
      </x:c>
      <x:c r="B22" s="16" t="str">
        <x:v>2000982382-Y321</x:v>
      </x:c>
      <x:c r="C22" s="16" t="str">
        <x:v>ЛОТОК 1490*2980*1480 4148.6.22-КЖ1.И-Л1</x:v>
      </x:c>
      <x:c r="D22" s="16" t="str">
        <x:v>Железобетонные изделия</x:v>
      </x:c>
      <x:c r="E22" s="16" t="str">
        <x:v>ШТ</x:v>
      </x:c>
      <x:c r="F22" s="21" t="n">
        <x:v>1</x:v>
      </x:c>
      <x:c r="G22" s="17" t="n">
        <x:v>46273.489799999996</x:v>
      </x:c>
      <x:c r="H22" s="17" t="n">
        <x:f>G22*F22</x:f>
        <x:v>46273.489799999996</x:v>
      </x:c>
      <x:c r="I22" s="22" t="str">
        <x:f>HYPERLINK("https://etp-aktiv.ru/catalog/materialy/stroitelnye-materialy/2000982382-Y321/","Открыть позицию")</x:f>
        <x:v>Открыть позицию</x:v>
      </x:c>
    </x:row>
    <x:row r="23" ht="28" customHeight="1">
      <x:c r="A23" s="16" t="str">
        <x:v>Новосибирская теплосетевая компания</x:v>
      </x:c>
      <x:c r="B23" s="16" t="str">
        <x:v>2000557336-Y321</x:v>
      </x:c>
      <x:c r="C23" s="16" t="str">
        <x:v>ЛОТОК ЛК 300.120.60-3 299*118*58 3.006.1</x:v>
      </x:c>
      <x:c r="D23" s="16" t="str">
        <x:v>Железобетонные изделия</x:v>
      </x:c>
      <x:c r="E23" s="16" t="str">
        <x:v>ШТ</x:v>
      </x:c>
      <x:c r="F23" s="21" t="n">
        <x:v>1</x:v>
      </x:c>
      <x:c r="G23" s="17" t="n">
        <x:v>18050.2416</x:v>
      </x:c>
      <x:c r="H23" s="17" t="n">
        <x:f>G23*F23</x:f>
        <x:v>18050.2416</x:v>
      </x:c>
      <x:c r="I23" s="22" t="str">
        <x:f>HYPERLINK("https://etp-aktiv.ru/catalog/materialy/stroitelnye-materialy/2000557336-Y321/","Открыть позицию")</x:f>
        <x:v>Открыть позицию</x:v>
      </x:c>
    </x:row>
    <x:row r="24" ht="28" customHeight="1">
      <x:c r="A24" s="16" t="str">
        <x:v>Новосибирская теплосетевая компания</x:v>
      </x:c>
      <x:c r="B24" s="16" t="str">
        <x:v>2000557346-Y321</x:v>
      </x:c>
      <x:c r="C24" s="16" t="str">
        <x:v>ЛОТОК ЛК 300.150.90-6А 2990*1480*880</x:v>
      </x:c>
      <x:c r="D24" s="16" t="str">
        <x:v>Железобетонные изделия</x:v>
      </x:c>
      <x:c r="E24" s="16" t="str">
        <x:v>ШТ</x:v>
      </x:c>
      <x:c r="F24" s="21" t="n">
        <x:v>2</x:v>
      </x:c>
      <x:c r="G24" s="17" t="n">
        <x:v>34969.799399999996</x:v>
      </x:c>
      <x:c r="H24" s="17" t="n">
        <x:f>G24*F24</x:f>
        <x:v>69939.59879999999</x:v>
      </x:c>
      <x:c r="I24" s="22" t="str">
        <x:f>HYPERLINK("https://etp-aktiv.ru/catalog/materialy/stroitelnye-materialy/2000557346-Y321/","Открыть позицию")</x:f>
        <x:v>Открыть позицию</x:v>
      </x:c>
    </x:row>
    <x:row r="25" ht="28" customHeight="1">
      <x:c r="A25" s="16" t="str">
        <x:v>Новосибирская теплосетевая компания</x:v>
      </x:c>
      <x:c r="B25" s="16" t="str">
        <x:v>2000570437-Y321</x:v>
      </x:c>
      <x:c r="C25" s="16" t="str">
        <x:v>ЛОТОК ЛК 300.180.90-2 С.3.006.1-8 В.1-1</x:v>
      </x:c>
      <x:c r="D25" s="16" t="str">
        <x:v>Железобетонные изделия</x:v>
      </x:c>
      <x:c r="E25" s="16" t="str">
        <x:v>ШТ</x:v>
      </x:c>
      <x:c r="F25" s="21" t="n">
        <x:v>4</x:v>
      </x:c>
      <x:c r="G25" s="17" t="n">
        <x:v>25372.6694</x:v>
      </x:c>
      <x:c r="H25" s="17" t="n">
        <x:f>G25*F25</x:f>
        <x:v>101490.6776</x:v>
      </x:c>
      <x:c r="I25" s="22" t="str">
        <x:f>HYPERLINK("https://etp-aktiv.ru/catalog/materialy/stroitelnye-materialy/2000570437-Y321/","Открыть позицию")</x:f>
        <x:v>Открыть позицию</x:v>
      </x:c>
    </x:row>
    <x:row r="26" ht="28" customHeight="1">
      <x:c r="A26" s="16" t="str">
        <x:v>Новосибирская теплосетевая компания</x:v>
      </x:c>
      <x:c r="B26" s="16" t="str">
        <x:v>2000557353-Y321</x:v>
      </x:c>
      <x:c r="C26" s="16" t="str">
        <x:v>ЛОТОК ЛК 300.240.120-2 С3.006.1-8 В1-1</x:v>
      </x:c>
      <x:c r="D26" s="16" t="str">
        <x:v>Железобетонные изделия</x:v>
      </x:c>
      <x:c r="E26" s="16" t="str">
        <x:v>ШТ</x:v>
      </x:c>
      <x:c r="F26" s="21" t="n">
        <x:v>2</x:v>
      </x:c>
      <x:c r="G26" s="17" t="n">
        <x:v>60899.35</x:v>
      </x:c>
      <x:c r="H26" s="17" t="n">
        <x:f>G26*F26</x:f>
        <x:v>121798.7</x:v>
      </x:c>
      <x:c r="I26" s="22" t="str">
        <x:f>HYPERLINK("https://etp-aktiv.ru/catalog/materialy/stroitelnye-materialy/2000557353-Y321/","Открыть позицию")</x:f>
        <x:v>Открыть позицию</x:v>
      </x:c>
    </x:row>
    <x:row r="27" ht="28" customHeight="1">
      <x:c r="A27" s="16" t="str">
        <x:v>Новосибирская теплосетевая компания</x:v>
      </x:c>
      <x:c r="B27" s="16" t="str">
        <x:v>2000696853-Y321</x:v>
      </x:c>
      <x:c r="C27" s="16" t="str">
        <x:v>ЛОТОК ЛК300.150.60-4 2990*1480*580</x:v>
      </x:c>
      <x:c r="D27" s="16" t="str">
        <x:v>Железобетонные изделия</x:v>
      </x:c>
      <x:c r="E27" s="16" t="str">
        <x:v>ШТ</x:v>
      </x:c>
      <x:c r="F27" s="21" t="n">
        <x:v>10</x:v>
      </x:c>
      <x:c r="G27" s="17" t="n">
        <x:v>26621.0954</x:v>
      </x:c>
      <x:c r="H27" s="17" t="n">
        <x:f>G27*F27</x:f>
        <x:v>266210.95399999997</x:v>
      </x:c>
      <x:c r="I27" s="22" t="str">
        <x:f>HYPERLINK("https://etp-aktiv.ru/catalog/materialy/stroitelnye-materialy/2000696853-Y321/","Открыть позицию")</x:f>
        <x:v>Открыть позицию</x:v>
      </x:c>
    </x:row>
    <x:row r="28" ht="28" customHeight="1">
      <x:c r="A28" s="16" t="str">
        <x:v>Новосибирская теплосетевая компания</x:v>
      </x:c>
      <x:c r="B28" s="16" t="str">
        <x:v>2001036773-Y321</x:v>
      </x:c>
      <x:c r="C28" s="16" t="str">
        <x:v>ЛОТОК ЛК300.210.120-3 2990*2080*1180</x:v>
      </x:c>
      <x:c r="D28" s="16" t="str">
        <x:v>Железобетонные изделия</x:v>
      </x:c>
      <x:c r="E28" s="16" t="str">
        <x:v>ШТ</x:v>
      </x:c>
      <x:c r="F28" s="21" t="n">
        <x:v>4</x:v>
      </x:c>
      <x:c r="G28" s="17" t="n">
        <x:v>47757.937</x:v>
      </x:c>
      <x:c r="H28" s="17" t="n">
        <x:f>G28*F28</x:f>
        <x:v>191031.748</x:v>
      </x:c>
      <x:c r="I28" s="22" t="str">
        <x:f>HYPERLINK("https://etp-aktiv.ru/catalog/materialy/stroitelnye-materialy/2001036773-Y321/","Открыть позицию")</x:f>
        <x:v>Открыть позицию</x:v>
      </x:c>
    </x:row>
    <x:row r="29" ht="28" customHeight="1">
      <x:c r="A29" s="16" t="str">
        <x:v>Новосибирская теплосетевая компания</x:v>
      </x:c>
      <x:c r="B29" s="16" t="str">
        <x:v>2001117502-Y321</x:v>
      </x:c>
      <x:c r="C29" s="16" t="str">
        <x:v>ЛОТОК ЛК300.300.150-3 С.3.006.1-8, В.1-1</x:v>
      </x:c>
      <x:c r="D29" s="16" t="str">
        <x:v>Железобетонные изделия</x:v>
      </x:c>
      <x:c r="E29" s="16" t="str">
        <x:v>ШТ</x:v>
      </x:c>
      <x:c r="F29" s="21" t="n">
        <x:v>3</x:v>
      </x:c>
      <x:c r="G29" s="17" t="n">
        <x:v>93867.3978</x:v>
      </x:c>
      <x:c r="H29" s="17" t="n">
        <x:f>G29*F29</x:f>
        <x:v>281602.1934</x:v>
      </x:c>
      <x:c r="I29" s="22" t="str">
        <x:f>HYPERLINK("https://etp-aktiv.ru/catalog/materialy/stroitelnye-materialy/2001117502-Y321/","Открыть позицию")</x:f>
        <x:v>Открыть позицию</x:v>
      </x:c>
    </x:row>
    <x:row r="30" ht="28" customHeight="1">
      <x:c r="A30" s="16" t="str">
        <x:v>Новосибирская теплосетевая компания</x:v>
      </x:c>
      <x:c r="B30" s="16" t="str">
        <x:v>2001030566-Y321</x:v>
      </x:c>
      <x:c r="C30" s="16" t="str">
        <x:v>ПЛИТА 4447.23-АС23.И-ПТ300.120.12-9</x:v>
      </x:c>
      <x:c r="D30" s="16" t="str">
        <x:v>Железобетонные изделия</x:v>
      </x:c>
      <x:c r="E30" s="16" t="str">
        <x:v>ШТ</x:v>
      </x:c>
      <x:c r="F30" s="21" t="n">
        <x:v>1</x:v>
      </x:c>
      <x:c r="G30" s="17" t="n">
        <x:v>16832.95</x:v>
      </x:c>
      <x:c r="H30" s="17" t="n">
        <x:f>G30*F30</x:f>
        <x:v>16832.95</x:v>
      </x:c>
      <x:c r="I30" s="22" t="str">
        <x:f>HYPERLINK("https://etp-aktiv.ru/catalog/materialy/stroitelnye-materialy/2001030566-Y321/","Открыть позицию")</x:f>
        <x:v>Открыть позицию</x:v>
      </x:c>
    </x:row>
    <x:row r="31" ht="28" customHeight="1">
      <x:c r="A31" s="16" t="str">
        <x:v>Новосибирская теплосетевая компания</x:v>
      </x:c>
      <x:c r="B31" s="16" t="str">
        <x:v>2001029823-Y321</x:v>
      </x:c>
      <x:c r="C31" s="16" t="str">
        <x:v>ПЛИТА 4447.23-АС23.И-ПТ75.180.14-9</x:v>
      </x:c>
      <x:c r="D31" s="16" t="str">
        <x:v>Железобетонные изделия</x:v>
      </x:c>
      <x:c r="E31" s="16" t="str">
        <x:v>ШТ</x:v>
      </x:c>
      <x:c r="F31" s="21" t="n">
        <x:v>3</x:v>
      </x:c>
      <x:c r="G31" s="17" t="n">
        <x:v>6148.8</x:v>
      </x:c>
      <x:c r="H31" s="17" t="n">
        <x:f>G31*F31</x:f>
        <x:v>18446.4</x:v>
      </x:c>
      <x:c r="I31" s="22" t="str">
        <x:f>HYPERLINK("https://etp-aktiv.ru/catalog/materialy/stroitelnye-materialy/2001029823-Y321/","Открыть позицию")</x:f>
        <x:v>Открыть позицию</x:v>
      </x:c>
    </x:row>
    <x:row r="32" ht="28" customHeight="1">
      <x:c r="A32" s="16" t="str">
        <x:v>Новосибирская теплосетевая компания</x:v>
      </x:c>
      <x:c r="B32" s="16" t="str">
        <x:v>2000694601-Y321</x:v>
      </x:c>
      <x:c r="C32" s="16" t="str">
        <x:v>ПЛИТА ПТ 300.240.25-12 С.3.006.1-8</x:v>
      </x:c>
      <x:c r="D32" s="16" t="str">
        <x:v>Железобетонные изделия</x:v>
      </x:c>
      <x:c r="E32" s="16" t="str">
        <x:v>ШТ</x:v>
      </x:c>
      <x:c r="F32" s="21" t="n">
        <x:v>2</x:v>
      </x:c>
      <x:c r="G32" s="17" t="n">
        <x:v>49539.32</x:v>
      </x:c>
      <x:c r="H32" s="17" t="n">
        <x:f>G32*F32</x:f>
        <x:v>99078.64</x:v>
      </x:c>
      <x:c r="I32" s="22" t="str">
        <x:f>HYPERLINK("https://etp-aktiv.ru/catalog/materialy/stroitelnye-materialy/2000694601-Y321/","Открыть позицию")</x:f>
        <x:v>Открыть позицию</x:v>
      </x:c>
    </x:row>
    <x:row r="33" ht="28" customHeight="1">
      <x:c r="A33" s="16" t="str">
        <x:v>Филиал «Тепловые сети»</x:v>
      </x:c>
      <x:c r="B33" s="16" t="str">
        <x:v>2000557033-Y121</x:v>
      </x:c>
      <x:c r="C33" s="16" t="str">
        <x:v>КОЛЬЦО КС 20.6 С.3.900.1-14</x:v>
      </x:c>
      <x:c r="D33" s="16" t="str">
        <x:v>Железобетонные изделия</x:v>
      </x:c>
      <x:c r="E33" s="16" t="str">
        <x:v>ШТ</x:v>
      </x:c>
      <x:c r="F33" s="21" t="n">
        <x:v>1</x:v>
      </x:c>
      <x:c r="G33" s="17" t="n">
        <x:v>588.0278</x:v>
      </x:c>
      <x:c r="H33" s="17" t="n">
        <x:f>G33*F33</x:f>
        <x:v>588.0278</x:v>
      </x:c>
      <x:c r="I33" s="22" t="str">
        <x:f>HYPERLINK("https://etp-aktiv.ru/catalog/materialy/stroitelnye-materialy/2000557033-Y121/","Открыть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fad3a36482645c2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Трубы, фитинги, трубопроводная арматура и ОПС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2000383179-Y115</x:v>
      </x:c>
      <x:c r="C5" s="16" t="str">
        <x:v>ЗАГЛУШКА СТ20 DN108*4 PN16 ГОСТ17379-01</x:v>
      </x:c>
      <x:c r="D5" s="16" t="str">
        <x:v>Детали фасонные</x:v>
      </x:c>
      <x:c r="E5" s="16" t="str">
        <x:v>ШТ</x:v>
      </x:c>
      <x:c r="F5" s="21" t="n">
        <x:v>1</x:v>
      </x:c>
      <x:c r="G5" s="17" t="n">
        <x:v>12.81</x:v>
      </x:c>
      <x:c r="H5" s="17" t="n">
        <x:f>G5*F5</x:f>
        <x:v>12.81</x:v>
      </x:c>
      <x:c r="I5" s="22" t="str">
        <x:f>HYPERLINK("https://etp-aktiv.ru/catalog/materialy/truboprovody/2000383179-Y115/","Открыть позицию")</x:f>
        <x:v>Открыть позицию</x:v>
      </x:c>
    </x:row>
    <x:row r="6" ht="28" customHeight="1">
      <x:c r="A6" s="16" t="str">
        <x:v>Барабинская ТЭЦ</x:v>
      </x:c>
      <x:c r="B6" s="16" t="str">
        <x:v>2000520618-Y115</x:v>
      </x:c>
      <x:c r="C6" s="16" t="str">
        <x:v>МУФТА СТ20 DN40 PN25 ВР-ВР ГОСТ8966-75</x:v>
      </x:c>
      <x:c r="D6" s="16" t="str">
        <x:v>Детали фасонные</x:v>
      </x:c>
      <x:c r="E6" s="16" t="str">
        <x:v>ШТ</x:v>
      </x:c>
      <x:c r="F6" s="21" t="n">
        <x:v>1</x:v>
      </x:c>
      <x:c r="G6" s="17" t="n">
        <x:v>3.66</x:v>
      </x:c>
      <x:c r="H6" s="17" t="n">
        <x:f>G6*F6</x:f>
        <x:v>3.66</x:v>
      </x:c>
      <x:c r="I6" s="22" t="str">
        <x:f>HYPERLINK("https://etp-aktiv.ru/catalog/materialy/truboprovody/2000520618-Y115/","Открыть позицию")</x:f>
        <x:v>Открыть позицию</x:v>
      </x:c>
    </x:row>
    <x:row r="7" ht="28" customHeight="1">
      <x:c r="A7" s="16" t="str">
        <x:v>Барабинская ТЭЦ</x:v>
      </x:c>
      <x:c r="B7" s="16" t="str">
        <x:v>2000249311-Y115</x:v>
      </x:c>
      <x:c r="C7" s="16" t="str">
        <x:v>ОТВОД 45° СТ20 DN57 3,5 ГОСТ17375-01</x:v>
      </x:c>
      <x:c r="D7" s="16" t="str">
        <x:v>Детали фасонные</x:v>
      </x:c>
      <x:c r="E7" s="16" t="str">
        <x:v>ШТ</x:v>
      </x:c>
      <x:c r="F7" s="21" t="n">
        <x:v>4</x:v>
      </x:c>
      <x:c r="G7" s="17" t="n">
        <x:v>9.15</x:v>
      </x:c>
      <x:c r="H7" s="17" t="n">
        <x:f>G7*F7</x:f>
        <x:v>36.6</x:v>
      </x:c>
      <x:c r="I7" s="22" t="str">
        <x:f>HYPERLINK("https://etp-aktiv.ru/catalog/materialy/truboprovody/2000249311-Y115/","Открыть позицию")</x:f>
        <x:v>Открыть позицию</x:v>
      </x:c>
    </x:row>
    <x:row r="8" ht="28" customHeight="1">
      <x:c r="A8" s="16" t="str">
        <x:v>Барабинская ТЭЦ</x:v>
      </x:c>
      <x:c r="B8" s="16" t="str">
        <x:v>2000554928-Y115</x:v>
      </x:c>
      <x:c r="C8" s="16" t="str">
        <x:v>ПЕРЕХОД К СТ20 219*10-89*6 ГОСТ17378-01</x:v>
      </x:c>
      <x:c r="D8" s="16" t="str">
        <x:v>Детали фасонные</x:v>
      </x:c>
      <x:c r="E8" s="16" t="str">
        <x:v>ШТ</x:v>
      </x:c>
      <x:c r="F8" s="21" t="n">
        <x:v>2</x:v>
      </x:c>
      <x:c r="G8" s="17" t="n">
        <x:v>73.2</x:v>
      </x:c>
      <x:c r="H8" s="17" t="n">
        <x:f>G8*F8</x:f>
        <x:v>146.4</x:v>
      </x:c>
      <x:c r="I8" s="22" t="str">
        <x:f>HYPERLINK("https://etp-aktiv.ru/catalog/materialy/truboprovody/2000554928-Y115/","Открыть позицию")</x:f>
        <x:v>Открыть позицию</x:v>
      </x:c>
    </x:row>
    <x:row r="9" ht="28" customHeight="1">
      <x:c r="A9" s="16" t="str">
        <x:v>Барабинская ТЭЦ</x:v>
      </x:c>
      <x:c r="B9" s="16" t="str">
        <x:v>2000555265-Y115</x:v>
      </x:c>
      <x:c r="C9" s="16" t="str">
        <x:v>ТРОЙНИК СТ20 57*5-45*4 ГОСТ17376-01</x:v>
      </x:c>
      <x:c r="D9" s="16" t="str">
        <x:v>Детали фасонные</x:v>
      </x:c>
      <x:c r="E9" s="16" t="str">
        <x:v>ШТ</x:v>
      </x:c>
      <x:c r="F9" s="21" t="n">
        <x:v>4</x:v>
      </x:c>
      <x:c r="G9" s="17" t="n">
        <x:v>12.81</x:v>
      </x:c>
      <x:c r="H9" s="17" t="n">
        <x:f>G9*F9</x:f>
        <x:v>51.24</x:v>
      </x:c>
      <x:c r="I9" s="22" t="str">
        <x:f>HYPERLINK("https://etp-aktiv.ru/catalog/materialy/truboprovody/2000555265-Y115/","Открыть позицию")</x:f>
        <x:v>Открыть позицию</x:v>
      </x:c>
    </x:row>
    <x:row r="10" ht="28" customHeight="1">
      <x:c r="A10" s="16" t="str">
        <x:v>Барабинская ТЭЦ</x:v>
      </x:c>
      <x:c r="B10" s="16" t="str">
        <x:v>2000560250-Y115</x:v>
      </x:c>
      <x:c r="C10" s="16" t="str">
        <x:v>ТРУБА 09Г2С 42*3,5 ГОСТ8733-74</x:v>
      </x:c>
      <x:c r="D10" s="16" t="str">
        <x:v>Трубы черные бесшовные</x:v>
      </x:c>
      <x:c r="E10" s="16" t="str">
        <x:v>Т</x:v>
      </x:c>
      <x:c r="F10" s="29" t="n">
        <x:v>0.035</x:v>
      </x:c>
      <x:c r="G10" s="17" t="n">
        <x:v>18300</x:v>
      </x:c>
      <x:c r="H10" s="17" t="n">
        <x:f>G10*F10</x:f>
        <x:v>640.5000000000001</x:v>
      </x:c>
      <x:c r="I10" s="22" t="str">
        <x:f>HYPERLINK("https://etp-aktiv.ru/catalog/materialy/truby-stalnye-i-polimernye/2000560250-Y115/","Открыть позицию")</x:f>
        <x:v>Открыть позицию</x:v>
      </x:c>
    </x:row>
    <x:row r="11" ht="28" customHeight="1">
      <x:c r="A11" s="16" t="str">
        <x:v>Барабинская ТЭЦ</x:v>
      </x:c>
      <x:c r="B11" s="16" t="str">
        <x:v>2000905654-Y115</x:v>
      </x:c>
      <x:c r="C11" s="16" t="str">
        <x:v>ТРУБА PP-RCT SDR7,4 25*3,5 ГОСТ32415-13</x:v>
      </x:c>
      <x:c r="D11" s="16" t="str">
        <x:v>Трубы прочие стальные</x:v>
      </x:c>
      <x:c r="E11" s="16" t="str">
        <x:v>М</x:v>
      </x:c>
      <x:c r="F11" s="21" t="n">
        <x:v>1</x:v>
      </x:c>
      <x:c r="G11" s="17" t="n">
        <x:v>6.8686</x:v>
      </x:c>
      <x:c r="H11" s="17" t="n">
        <x:f>G11*F11</x:f>
        <x:v>6.8686</x:v>
      </x:c>
      <x:c r="I11" s="22" t="str">
        <x:f>HYPERLINK("https://etp-aktiv.ru/catalog/materialy/truby-stalnye-i-polimernye/2000905654-Y115/","Открыть позицию")</x:f>
        <x:v>Открыть позицию</x:v>
      </x:c>
    </x:row>
    <x:row r="12" ht="28" customHeight="1">
      <x:c r="A12" s="16" t="str">
        <x:v>Барабинская ТЭЦ</x:v>
      </x:c>
      <x:c r="B12" s="16" t="str">
        <x:v>2000560456-Y115</x:v>
      </x:c>
      <x:c r="C12" s="16" t="str">
        <x:v>ТРУБА SDR11 ПИТ ПЭ63 63*5,8 ГОСТ18599</x:v>
      </x:c>
      <x:c r="D12" s="16" t="str">
        <x:v>Трубы полимерные</x:v>
      </x:c>
      <x:c r="E12" s="16" t="str">
        <x:v>М</x:v>
      </x:c>
      <x:c r="F12" s="30" t="n">
        <x:v>23.5</x:v>
      </x:c>
      <x:c r="G12" s="17" t="n">
        <x:v>53.375</x:v>
      </x:c>
      <x:c r="H12" s="17" t="n">
        <x:f>G12*F12</x:f>
        <x:v>1254.3125</x:v>
      </x:c>
      <x:c r="I12" s="22" t="str">
        <x:f>HYPERLINK("https://etp-aktiv.ru/catalog/materialy/truby-stalnye-i-polimernye/2000560456-Y115/","Открыть позицию")</x:f>
        <x:v>Открыть позицию</x:v>
      </x:c>
    </x:row>
    <x:row r="13" ht="28" customHeight="1">
      <x:c r="A13" s="16" t="str">
        <x:v>Барабинская ТЭЦ</x:v>
      </x:c>
      <x:c r="B13" s="16" t="str">
        <x:v>2000566597-Y115</x:v>
      </x:c>
      <x:c r="C13" s="16" t="str">
        <x:v>ТРУБА ВГП СТ20 Ц 80*4 ГОСТ3262-75</x:v>
      </x:c>
      <x:c r="D13" s="16" t="str">
        <x:v>Трубы черные сварные малого и среднего диаметра</x:v>
      </x:c>
      <x:c r="E13" s="16" t="str">
        <x:v>Т</x:v>
      </x:c>
      <x:c r="F13" s="29" t="n">
        <x:v>0.075</x:v>
      </x:c>
      <x:c r="G13" s="17" t="n">
        <x:v>18300</x:v>
      </x:c>
      <x:c r="H13" s="17" t="n">
        <x:f>G13*F13</x:f>
        <x:v>1372.5</x:v>
      </x:c>
      <x:c r="I13" s="22" t="str">
        <x:f>HYPERLINK("https://etp-aktiv.ru/catalog/materialy/truby-stalnye-i-polimernye/2000566597-Y115/","Открыть позицию")</x:f>
        <x:v>Открыть позицию</x:v>
      </x:c>
    </x:row>
    <x:row r="14" ht="28" customHeight="1">
      <x:c r="A14" s="16" t="str">
        <x:v>Барабинская ТЭЦ</x:v>
      </x:c>
      <x:c r="B14" s="16" t="str">
        <x:v>2000242960-Y115</x:v>
      </x:c>
      <x:c r="C14" s="16" t="str">
        <x:v>ТРУБА СТ20 27*3 ГОСТ8734-78</x:v>
      </x:c>
      <x:c r="D14" s="16" t="str">
        <x:v>Трубы черные бесшовные</x:v>
      </x:c>
      <x:c r="E14" s="16" t="str">
        <x:v>Т</x:v>
      </x:c>
      <x:c r="F14" s="29" t="n">
        <x:v>0.012</x:v>
      </x:c>
      <x:c r="G14" s="17" t="n">
        <x:v>18300</x:v>
      </x:c>
      <x:c r="H14" s="17" t="n">
        <x:f>G14*F14</x:f>
        <x:v>219.6</x:v>
      </x:c>
      <x:c r="I14" s="22" t="str">
        <x:f>HYPERLINK("https://etp-aktiv.ru/catalog/materialy/truby-stalnye-i-polimernye/2000242960-Y115/","Открыть позицию")</x:f>
        <x:v>Открыть позицию</x:v>
      </x:c>
    </x:row>
    <x:row r="15" ht="28" customHeight="1">
      <x:c r="A15" s="16" t="str">
        <x:v>ИА СГК-Новосибирск</x:v>
      </x:c>
      <x:c r="B15" s="16" t="str">
        <x:v>2000586182-Y101</x:v>
      </x:c>
      <x:c r="C15" s="16" t="str">
        <x:v>ТРУБА ПВХ DYKA D32*2,4 PN16 PIPEV17032</x:v>
      </x:c>
      <x:c r="D15" s="16" t="str">
        <x:v>Трубы прочие полимерные</x:v>
      </x:c>
      <x:c r="E15" s="16" t="str">
        <x:v>М</x:v>
      </x:c>
      <x:c r="F15" s="30" t="n">
        <x:v>65.48</x:v>
      </x:c>
      <x:c r="G15" s="17" t="n">
        <x:v>1.4518</x:v>
      </x:c>
      <x:c r="H15" s="17" t="n">
        <x:f>G15*F15</x:f>
        <x:v>95.06386400000001</x:v>
      </x:c>
      <x:c r="I15" s="22" t="str">
        <x:f>HYPERLINK("https://etp-aktiv.ru/catalog/materialy/truby-stalnye-i-polimernye/2000586182-Y101/","Открыть позицию")</x:f>
        <x:v>Открыть позицию</x:v>
      </x:c>
    </x:row>
    <x:row r="16" ht="28" customHeight="1">
      <x:c r="A16" s="16" t="str">
        <x:v>Новосибирская ТЭЦ-2</x:v>
      </x:c>
      <x:c r="B16" s="16" t="str">
        <x:v>2000566560-Y111</x:v>
      </x:c>
      <x:c r="C16" s="16" t="str">
        <x:v>ТРУБА В-СТ4СП 108*4,5 ГОСТ8731-74</x:v>
      </x:c>
      <x:c r="D16" s="16" t="str">
        <x:v>Трубы черные бесшовные</x:v>
      </x:c>
      <x:c r="E16" s="16" t="str">
        <x:v>Т</x:v>
      </x:c>
      <x:c r="F16" s="29" t="n">
        <x:v>0.116</x:v>
      </x:c>
      <x:c r="G16" s="17" t="n">
        <x:v>18300</x:v>
      </x:c>
      <x:c r="H16" s="17" t="n">
        <x:f>G16*F16</x:f>
        <x:v>2122.8</x:v>
      </x:c>
      <x:c r="I16" s="22" t="str">
        <x:f>HYPERLINK("https://etp-aktiv.ru/catalog/materialy/truby-stalnye-i-polimernye/2000566560-Y111/","Открыть позицию")</x:f>
        <x:v>Открыть позицию</x:v>
      </x:c>
    </x:row>
    <x:row r="17" ht="28" customHeight="1">
      <x:c r="A17" s="16" t="str">
        <x:v>Новосибирская ТЭЦ-2</x:v>
      </x:c>
      <x:c r="B17" s="16" t="str">
        <x:v>2000742696-Y111</x:v>
      </x:c>
      <x:c r="C17" s="16" t="str">
        <x:v>ТРУБА ВГП СТ3СП5 32*2,8 ГОСТ3262-75</x:v>
      </x:c>
      <x:c r="D17" s="16" t="str">
        <x:v>Трубы черные сварные малого и среднего диаметра</x:v>
      </x:c>
      <x:c r="E17" s="16" t="str">
        <x:v>Т</x:v>
      </x:c>
      <x:c r="F17" s="29" t="n">
        <x:v>0.006</x:v>
      </x:c>
      <x:c r="G17" s="17" t="n">
        <x:v>67735.9372</x:v>
      </x:c>
      <x:c r="H17" s="17" t="n">
        <x:f>G17*F17</x:f>
        <x:v>406.4156232</x:v>
      </x:c>
      <x:c r="I17" s="22" t="str">
        <x:f>HYPERLINK("https://etp-aktiv.ru/catalog/materialy/truby-stalnye-i-polimernye/2000742696-Y111/","Открыть позицию")</x:f>
        <x:v>Открыть позицию</x:v>
      </x:c>
    </x:row>
    <x:row r="18" ht="28" customHeight="1">
      <x:c r="A18" s="16" t="str">
        <x:v>Новосибирская ТЭЦ-2</x:v>
      </x:c>
      <x:c r="B18" s="16" t="str">
        <x:v>2000546243-Y111</x:v>
      </x:c>
      <x:c r="C18" s="16" t="str">
        <x:v>ТРУБА КВД СТ20 38*4 ТУ14-3-460-75</x:v>
      </x:c>
      <x:c r="D18" s="16" t="str">
        <x:v>Трубы котельные высокого давления</x:v>
      </x:c>
      <x:c r="E18" s="16" t="str">
        <x:v>Т</x:v>
      </x:c>
      <x:c r="F18" s="29" t="n">
        <x:v>0.006</x:v>
      </x:c>
      <x:c r="G18" s="17" t="n">
        <x:v>18300</x:v>
      </x:c>
      <x:c r="H18" s="17" t="n">
        <x:f>G18*F18</x:f>
        <x:v>109.8</x:v>
      </x:c>
      <x:c r="I18" s="22" t="str">
        <x:f>HYPERLINK("https://etp-aktiv.ru/catalog/materialy/truby-stalnye-i-polimernye/2000546243-Y111/","Открыть позицию")</x:f>
        <x:v>Открыть позицию</x:v>
      </x:c>
    </x:row>
    <x:row r="19" ht="28" customHeight="1">
      <x:c r="A19" s="16" t="str">
        <x:v>Новосибирская ТЭЦ-2</x:v>
      </x:c>
      <x:c r="B19" s="16" t="str">
        <x:v>2000738915-Y111</x:v>
      </x:c>
      <x:c r="C19" s="16" t="str">
        <x:v>ТРУБА ПВХ 160*4,9 L=3000 20001603</x:v>
      </x:c>
      <x:c r="D19" s="16" t="str">
        <x:v>@Трубы прочие</x:v>
      </x:c>
      <x:c r="E19" s="16" t="str">
        <x:v>ШТ</x:v>
      </x:c>
      <x:c r="F19" s="21" t="n">
        <x:v>10</x:v>
      </x:c>
      <x:c r="G19" s="17" t="n">
        <x:v>4509.9983999999995</x:v>
      </x:c>
      <x:c r="H19" s="17" t="n">
        <x:f>G19*F19</x:f>
        <x:v>45099.984</x:v>
      </x:c>
      <x:c r="I19" s="22" t="str">
        <x:f>HYPERLINK("https://etp-aktiv.ru/catalog/materialy/truby-stalnye-i-polimernye/2000738915-Y111/","Открыть позицию")</x:f>
        <x:v>Открыть позицию</x:v>
      </x:c>
    </x:row>
    <x:row r="20" ht="28" customHeight="1">
      <x:c r="A20" s="16" t="str">
        <x:v>Новосибирская ТЭЦ-2</x:v>
      </x:c>
      <x:c r="B20" s="16" t="str">
        <x:v>2000766824-Y111</x:v>
      </x:c>
      <x:c r="C20" s="16" t="str">
        <x:v>ТРУБА ПРОФ С255-5 60*60*4 ГОСТ30245-2012</x:v>
      </x:c>
      <x:c r="D20" s="16" t="str">
        <x:v>Трубы профильные</x:v>
      </x:c>
      <x:c r="E20" s="16" t="str">
        <x:v>Т</x:v>
      </x:c>
      <x:c r="F20" s="29" t="n">
        <x:v>0.071</x:v>
      </x:c>
      <x:c r="G20" s="17" t="n">
        <x:v>21655</x:v>
      </x:c>
      <x:c r="H20" s="17" t="n">
        <x:f>G20*F20</x:f>
        <x:v>1537.5049999999999</x:v>
      </x:c>
      <x:c r="I20" s="22" t="str">
        <x:f>HYPERLINK("https://etp-aktiv.ru/catalog/materialy/truby-stalnye-i-polimernye/2000766824-Y111/","Открыть позицию")</x:f>
        <x:v>Открыть позицию</x:v>
      </x:c>
    </x:row>
    <x:row r="21" ht="28" customHeight="1">
      <x:c r="A21" s="16" t="str">
        <x:v>Новосибирская ТЭЦ-2</x:v>
      </x:c>
      <x:c r="B21" s="16" t="str">
        <x:v>2000142995-Y111</x:v>
      </x:c>
      <x:c r="C21" s="16" t="str">
        <x:v>ТРУБА СТ10 25*3,2 ГОСТ3262-75</x:v>
      </x:c>
      <x:c r="D21" s="16" t="str">
        <x:v>Трубы черные сварные малого и среднего диаметра</x:v>
      </x:c>
      <x:c r="E21" s="16" t="str">
        <x:v>Т</x:v>
      </x:c>
      <x:c r="F21" s="29" t="n">
        <x:v>0.01</x:v>
      </x:c>
      <x:c r="G21" s="17" t="n">
        <x:v>82274.3966</x:v>
      </x:c>
      <x:c r="H21" s="17" t="n">
        <x:f>G21*F21</x:f>
        <x:v>822.743966</x:v>
      </x:c>
      <x:c r="I21" s="22" t="str">
        <x:f>HYPERLINK("https://etp-aktiv.ru/catalog/materialy/truby-stalnye-i-polimernye/2000142995-Y111/","Открыть позицию")</x:f>
        <x:v>Открыть позицию</x:v>
      </x:c>
    </x:row>
    <x:row r="22" ht="28" customHeight="1">
      <x:c r="A22" s="16" t="str">
        <x:v>Новосибирская ТЭЦ-2</x:v>
      </x:c>
      <x:c r="B22" s="16" t="str">
        <x:v>2000560124-Y111</x:v>
      </x:c>
      <x:c r="C22" s="16" t="str">
        <x:v>ТРУБА СТ20 108*12 ГОСТ8731-74</x:v>
      </x:c>
      <x:c r="D22" s="16" t="str">
        <x:v>Трубы черные бесшовные</x:v>
      </x:c>
      <x:c r="E22" s="16" t="str">
        <x:v>Т</x:v>
      </x:c>
      <x:c r="F22" s="29" t="n">
        <x:v>0.05</x:v>
      </x:c>
      <x:c r="G22" s="17" t="n">
        <x:v>38887.5</x:v>
      </x:c>
      <x:c r="H22" s="17" t="n">
        <x:f>G22*F22</x:f>
        <x:v>1944.375</x:v>
      </x:c>
      <x:c r="I22" s="22" t="str">
        <x:f>HYPERLINK("https://etp-aktiv.ru/catalog/materialy/truby-stalnye-i-polimernye/2000560124-Y111/","Открыть позицию")</x:f>
        <x:v>Открыть позицию</x:v>
      </x:c>
    </x:row>
    <x:row r="23" ht="28" customHeight="1">
      <x:c r="A23" s="16" t="str">
        <x:v>Новосибирская ТЭЦ-2</x:v>
      </x:c>
      <x:c r="B23" s="16" t="str">
        <x:v>2000545975-Y111</x:v>
      </x:c>
      <x:c r="C23" s="16" t="str">
        <x:v>ТРУБА СТ20 76*6 ТУ14-3Р-55-01</x:v>
      </x:c>
      <x:c r="D23" s="16" t="str">
        <x:v>Трубы котельные высокого давления</x:v>
      </x:c>
      <x:c r="E23" s="16" t="str">
        <x:v>Т</x:v>
      </x:c>
      <x:c r="F23" s="29" t="n">
        <x:v>0.09</x:v>
      </x:c>
      <x:c r="G23" s="17" t="n">
        <x:v>71372.6108</x:v>
      </x:c>
      <x:c r="H23" s="17" t="n">
        <x:f>G23*F23</x:f>
        <x:v>6423.5349719999995</x:v>
      </x:c>
      <x:c r="I23" s="22" t="str">
        <x:f>HYPERLINK("https://etp-aktiv.ru/catalog/materialy/truby-stalnye-i-polimernye/2000545975-Y111/","Открыть позицию")</x:f>
        <x:v>Открыть позицию</x:v>
      </x:c>
    </x:row>
    <x:row r="24" ht="28" customHeight="1">
      <x:c r="A24" s="16" t="str">
        <x:v>Новосибирская ТЭЦ-2</x:v>
      </x:c>
      <x:c r="B24" s="16" t="str">
        <x:v>2000560566-Y111</x:v>
      </x:c>
      <x:c r="C24" s="16" t="str">
        <x:v>ТРУБА СТ3 1020*10 ГОСТ10705-80</x:v>
      </x:c>
      <x:c r="D24" s="16" t="str">
        <x:v>Трубы черные сварные большого диаметра</x:v>
      </x:c>
      <x:c r="E24" s="16" t="str">
        <x:v>Т</x:v>
      </x:c>
      <x:c r="F24" s="29" t="n">
        <x:v>0.234</x:v>
      </x:c>
      <x:c r="G24" s="17" t="n">
        <x:v>34270.6662</x:v>
      </x:c>
      <x:c r="H24" s="17" t="n">
        <x:f>G24*F24</x:f>
        <x:v>8019.3358908</x:v>
      </x:c>
      <x:c r="I24" s="22" t="str">
        <x:f>HYPERLINK("https://etp-aktiv.ru/catalog/materialy/truby-stalnye-i-polimernye/2000560566-Y111/","Открыть позицию")</x:f>
        <x:v>Открыть позицию</x:v>
      </x:c>
    </x:row>
    <x:row r="25" ht="28" customHeight="1">
      <x:c r="A25" s="16" t="str">
        <x:v>Новосибирская ТЭЦ-2</x:v>
      </x:c>
      <x:c r="B25" s="16" t="str">
        <x:v>2000680457-Y111</x:v>
      </x:c>
      <x:c r="C25" s="16" t="str">
        <x:v>ТРУБА Э/С 09Г2С 219*4,5 ГОСТ10705-80</x:v>
      </x:c>
      <x:c r="D25" s="16" t="str">
        <x:v>Трубы черные сварные малого и среднего диаметра</x:v>
      </x:c>
      <x:c r="E25" s="16" t="str">
        <x:v>Т</x:v>
      </x:c>
      <x:c r="F25" s="29" t="n">
        <x:v>0.73</x:v>
      </x:c>
      <x:c r="G25" s="17" t="n">
        <x:v>18300</x:v>
      </x:c>
      <x:c r="H25" s="17" t="n">
        <x:f>G25*F25</x:f>
        <x:v>13359</x:v>
      </x:c>
      <x:c r="I25" s="22" t="str">
        <x:f>HYPERLINK("https://etp-aktiv.ru/catalog/materialy/truby-stalnye-i-polimernye/2000680457-Y111/","Открыть позицию")</x:f>
        <x:v>Открыть позицию</x:v>
      </x:c>
    </x:row>
    <x:row r="26" ht="28" customHeight="1">
      <x:c r="A26" s="16" t="str">
        <x:v>Новосибирская ТЭЦ-2</x:v>
      </x:c>
      <x:c r="B26" s="16" t="str">
        <x:v>2000015497-Y111</x:v>
      </x:c>
      <x:c r="C26" s="16" t="str">
        <x:v>ТРУБА Э/С СТ1 76*4 ГОСТ10705-80</x:v>
      </x:c>
      <x:c r="D26" s="16" t="str">
        <x:v>Трубы черные сварные малого и среднего диаметра</x:v>
      </x:c>
      <x:c r="E26" s="16" t="str">
        <x:v>Т</x:v>
      </x:c>
      <x:c r="F26" s="29" t="n">
        <x:v>0.019</x:v>
      </x:c>
      <x:c r="G26" s="17" t="n">
        <x:v>18300</x:v>
      </x:c>
      <x:c r="H26" s="17" t="n">
        <x:f>G26*F26</x:f>
        <x:v>347.7</x:v>
      </x:c>
      <x:c r="I26" s="22" t="str">
        <x:f>HYPERLINK("https://etp-aktiv.ru/catalog/materialy/truby-stalnye-i-polimernye/2000015497-Y111/","Открыть позицию")</x:f>
        <x:v>Открыть позицию</x:v>
      </x:c>
    </x:row>
    <x:row r="27" ht="28" customHeight="1">
      <x:c r="A27" s="16" t="str">
        <x:v>Новосибирская ТЭЦ-2</x:v>
      </x:c>
      <x:c r="B27" s="16" t="str">
        <x:v>2000716122-Y111</x:v>
      </x:c>
      <x:c r="C27" s="16" t="str">
        <x:v>ТРУБА Э/С СТ20 273*10 ГОСТ10705-80</x:v>
      </x:c>
      <x:c r="D27" s="16" t="str">
        <x:v>Трубы черные сварные малого и среднего диаметра</x:v>
      </x:c>
      <x:c r="E27" s="16" t="str">
        <x:v>Т</x:v>
      </x:c>
      <x:c r="F27" s="29" t="n">
        <x:v>0.055</x:v>
      </x:c>
      <x:c r="G27" s="17" t="n">
        <x:v>161650.061</x:v>
      </x:c>
      <x:c r="H27" s="17" t="n">
        <x:f>G27*F27</x:f>
        <x:v>8890.753354999999</x:v>
      </x:c>
      <x:c r="I27" s="22" t="str">
        <x:f>HYPERLINK("https://etp-aktiv.ru/catalog/materialy/truby-stalnye-i-polimernye/2000716122-Y111/","Открыть позицию")</x:f>
        <x:v>Открыть позицию</x:v>
      </x:c>
    </x:row>
    <x:row r="28" ht="28" customHeight="1">
      <x:c r="A28" s="16" t="str">
        <x:v>Новосибирская ТЭЦ-2</x:v>
      </x:c>
      <x:c r="B28" s="16" t="str">
        <x:v>2000548675-Y111</x:v>
      </x:c>
      <x:c r="C28" s="16" t="str">
        <x:v>ТРУБКА ПВХ 305 ТВ-40 3ММ БЕЛ ГОСТ19034</x:v>
      </x:c>
      <x:c r="D28" s="16" t="str">
        <x:v>Электроизоляционные материалы</x:v>
      </x:c>
      <x:c r="E28" s="16" t="str">
        <x:v>КГ</x:v>
      </x:c>
      <x:c r="F28" s="29" t="n">
        <x:v>0.54</x:v>
      </x:c>
      <x:c r="G28" s="17" t="n">
        <x:v>101.565</x:v>
      </x:c>
      <x:c r="H28" s="17" t="n">
        <x:f>G28*F28</x:f>
        <x:v>54.8451</x:v>
      </x:c>
      <x:c r="I28" s="22" t="str">
        <x:f>HYPERLINK("https://etp-aktiv.ru/catalog/materialy/ehlektroizolyacionnye-materialy/2000548675-Y111/","Открыть позицию")</x:f>
        <x:v>Открыть позицию</x:v>
      </x:c>
    </x:row>
    <x:row r="29" ht="28" customHeight="1">
      <x:c r="A29" s="16" t="str">
        <x:v>Новосибирская ТЭЦ-2</x:v>
      </x:c>
      <x:c r="B29" s="16" t="str">
        <x:v>2000729829-Y111</x:v>
      </x:c>
      <x:c r="C29" s="16" t="str">
        <x:v>УГОЛЬНИК НПВХ 110*90 PN16 RDRGOD1100</x:v>
      </x:c>
      <x:c r="D29" s="16" t="str">
        <x:v>Фитинги труб полимерных</x:v>
      </x:c>
      <x:c r="E29" s="16" t="str">
        <x:v>ШТ</x:v>
      </x:c>
      <x:c r="F29" s="21" t="n">
        <x:v>3</x:v>
      </x:c>
      <x:c r="G29" s="17" t="n">
        <x:v>794.4884000000001</x:v>
      </x:c>
      <x:c r="H29" s="17" t="n">
        <x:f>G29*F29</x:f>
        <x:v>2383.4652</x:v>
      </x:c>
      <x:c r="I29" s="22" t="str">
        <x:f>HYPERLINK("https://etp-aktiv.ru/catalog/materialy/truboprovody/2000729829-Y111/","Открыть позицию")</x:f>
        <x:v>Открыть позицию</x:v>
      </x:c>
    </x:row>
    <x:row r="30" ht="28" customHeight="1">
      <x:c r="A30" s="16" t="str">
        <x:v>Новосибирская ТЭЦ-2</x:v>
      </x:c>
      <x:c r="B30" s="16" t="str">
        <x:v>2000579989-Y111</x:v>
      </x:c>
      <x:c r="C30" s="16" t="str">
        <x:v>ХОМУТ ТРУБНЫЙ 88-92ММ MUPRO 122266</x:v>
      </x:c>
      <x:c r="D30" s="16" t="str">
        <x:v>Система опорно-подвесная</x:v>
      </x:c>
      <x:c r="E30" s="16" t="str">
        <x:v>ШТ</x:v>
      </x:c>
      <x:c r="F30" s="21" t="n">
        <x:v>5</x:v>
      </x:c>
      <x:c r="G30" s="17" t="n">
        <x:v>567.5684</x:v>
      </x:c>
      <x:c r="H30" s="17" t="n">
        <x:f>G30*F30</x:f>
        <x:v>2837.842</x:v>
      </x:c>
      <x:c r="I30" s="22" t="str">
        <x:f>HYPERLINK("https://etp-aktiv.ru/catalog/materialy/truboprovody/2000579989-Y111/","Открыть позицию")</x:f>
        <x:v>Открыть позицию</x:v>
      </x:c>
    </x:row>
    <x:row r="31" ht="28" customHeight="1">
      <x:c r="A31" s="16" t="str">
        <x:v>Новосибирская ТЭЦ-3</x:v>
      </x:c>
      <x:c r="B31" s="16" t="str">
        <x:v>2000222774-Y112</x:v>
      </x:c>
      <x:c r="C31" s="16" t="str">
        <x:v>АРМАТУРА СКЛ-14-А-Ж-2-220</x:v>
      </x:c>
      <x:c r="D31" s="16" t="str">
        <x:v>Осветительная продукция и изделия электроустановочные</x:v>
      </x:c>
      <x:c r="E31" s="16" t="str">
        <x:v>ШТ</x:v>
      </x:c>
      <x:c r="F31" s="21" t="n">
        <x:v>10</x:v>
      </x:c>
      <x:c r="G31" s="17" t="n">
        <x:v>58.804</x:v>
      </x:c>
      <x:c r="H31" s="17" t="n">
        <x:f>G31*F31</x:f>
        <x:v>588.04</x:v>
      </x:c>
      <x:c r="I31" s="22" t="str">
        <x:f>HYPERLINK("https://etp-aktiv.ru/catalog/materialy/ehlektrotekhnicheskie-materialy/2000222774-Y112/","Открыть позицию")</x:f>
        <x:v>Открыть позицию</x:v>
      </x:c>
    </x:row>
    <x:row r="32" ht="28" customHeight="1">
      <x:c r="A32" s="16" t="str">
        <x:v>Новосибирская ТЭЦ-3</x:v>
      </x:c>
      <x:c r="B32" s="16" t="str">
        <x:v>2000609114-Y112</x:v>
      </x:c>
      <x:c r="C32" s="16" t="str">
        <x:v>БОЛТ ОТКИДНОЙ 65.К-3876 ЗАДВИЖКИ</x:v>
      </x:c>
      <x:c r="D32" s="16" t="str">
        <x:v>Запасные части к трубопроводной арматуре</x:v>
      </x:c>
      <x:c r="E32" s="16" t="str">
        <x:v>ШТ</x:v>
      </x:c>
      <x:c r="F32" s="21" t="n">
        <x:v>2</x:v>
      </x:c>
      <x:c r="G32" s="17" t="n">
        <x:v>14.64</x:v>
      </x:c>
      <x:c r="H32" s="17" t="n">
        <x:f>G32*F32</x:f>
        <x:v>29.28</x:v>
      </x:c>
      <x:c r="I32" s="22" t="str">
        <x:f>HYPERLINK("https://etp-aktiv.ru/catalog/materialy/truboprovodnaya-armatura-i-komplektuyushchie/2000609114-Y112/","Открыть позицию")</x:f>
        <x:v>Открыть позицию</x:v>
      </x:c>
    </x:row>
    <x:row r="33" ht="28" customHeight="1">
      <x:c r="A33" s="16" t="str">
        <x:v>Новосибирская ТЭЦ-3</x:v>
      </x:c>
      <x:c r="B33" s="16" t="str">
        <x:v>2000534984-Y112</x:v>
      </x:c>
      <x:c r="C33" s="16" t="str">
        <x:v>КОМПЕНСАТОР 2Л DУ1400 16 ПГВУ243-92 ИСП1</x:v>
      </x:c>
      <x:c r="D33" s="16" t="str">
        <x:v>Компенсаторы</x:v>
      </x:c>
      <x:c r="E33" s="16" t="str">
        <x:v>ШТ</x:v>
      </x:c>
      <x:c r="F33" s="21" t="n">
        <x:v>3</x:v>
      </x:c>
      <x:c r="G33" s="17" t="n">
        <x:v>47580</x:v>
      </x:c>
      <x:c r="H33" s="17" t="n">
        <x:f>G33*F33</x:f>
        <x:v>142740</x:v>
      </x:c>
      <x:c r="I33" s="22" t="str">
        <x:f>HYPERLINK("https://etp-aktiv.ru/catalog/materialy/truboprovody/2000534984-Y112/","Открыть позицию")</x:f>
        <x:v>Открыть позицию</x:v>
      </x:c>
    </x:row>
    <x:row r="34" ht="28" customHeight="1">
      <x:c r="A34" s="16" t="str">
        <x:v>Новосибирская ТЭЦ-3</x:v>
      </x:c>
      <x:c r="B34" s="16" t="str">
        <x:v>2000306072-Y112</x:v>
      </x:c>
      <x:c r="C34" s="16" t="str">
        <x:v>ОТВОД 90° СТ20 DN273 20 P10 ГОСТ17375-01</x:v>
      </x:c>
      <x:c r="D34" s="16" t="str">
        <x:v>Детали фасонные</x:v>
      </x:c>
      <x:c r="E34" s="16" t="str">
        <x:v>ШТ</x:v>
      </x:c>
      <x:c r="F34" s="21" t="n">
        <x:v>1</x:v>
      </x:c>
      <x:c r="G34" s="17" t="n">
        <x:v>9668.988</x:v>
      </x:c>
      <x:c r="H34" s="17" t="n">
        <x:f>G34*F34</x:f>
        <x:v>9668.988</x:v>
      </x:c>
      <x:c r="I34" s="22" t="str">
        <x:f>HYPERLINK("https://etp-aktiv.ru/catalog/materialy/truboprovody/2000306072-Y112/","Открыть позицию")</x:f>
        <x:v>Открыть позицию</x:v>
      </x:c>
    </x:row>
    <x:row r="35" ht="28" customHeight="1">
      <x:c r="A35" s="16" t="str">
        <x:v>Новосибирская ТЭЦ-3</x:v>
      </x:c>
      <x:c r="B35" s="16" t="str">
        <x:v>2000575347-Y112</x:v>
      </x:c>
      <x:c r="C35" s="16" t="str">
        <x:v>ТРУБА СТ20 426*9 (8731)-ППУ-ПЭ/630 30732</x:v>
      </x:c>
      <x:c r="D35" s="16" t="str">
        <x:v>Трубы и элементы трубопроводов теплоизолиров и футерованных</x:v>
      </x:c>
      <x:c r="E35" s="16" t="str">
        <x:v>М</x:v>
      </x:c>
      <x:c r="F35" s="30" t="n">
        <x:v>2.96</x:v>
      </x:c>
      <x:c r="G35" s="17" t="n">
        <x:v>1693.7625999999998</x:v>
      </x:c>
      <x:c r="H35" s="17" t="n">
        <x:f>G35*F35</x:f>
        <x:v>5013.5372959999995</x:v>
      </x:c>
      <x:c r="I35" s="22" t="str">
        <x:f>HYPERLINK("https://etp-aktiv.ru/catalog/materialy/truboprovody/2000575347-Y112/","Открыть позицию")</x:f>
        <x:v>Открыть позицию</x:v>
      </x:c>
    </x:row>
    <x:row r="36" ht="28" customHeight="1">
      <x:c r="A36" s="16" t="str">
        <x:v>Новосибирская ТЭЦ-3</x:v>
      </x:c>
      <x:c r="B36" s="16" t="str">
        <x:v>2000560525-Y112</x:v>
      </x:c>
      <x:c r="C36" s="16" t="str">
        <x:v>ТРУБА СТ3 40*1,5 L=6900 ГОСТ10705-80</x:v>
      </x:c>
      <x:c r="D36" s="16" t="str">
        <x:v>Трубы черные сварные малого и среднего диаметра</x:v>
      </x:c>
      <x:c r="E36" s="16" t="str">
        <x:v>Т</x:v>
      </x:c>
      <x:c r="F36" s="29" t="n">
        <x:v>0.212</x:v>
      </x:c>
      <x:c r="G36" s="17" t="n">
        <x:v>18300</x:v>
      </x:c>
      <x:c r="H36" s="17" t="n">
        <x:f>G36*F36</x:f>
        <x:v>3879.6</x:v>
      </x:c>
      <x:c r="I36" s="22" t="str">
        <x:f>HYPERLINK("https://etp-aktiv.ru/catalog/materialy/truby-stalnye-i-polimernye/2000560525-Y112/","Открыть позицию")</x:f>
        <x:v>Открыть позицию</x:v>
      </x:c>
    </x:row>
    <x:row r="37" ht="28" customHeight="1">
      <x:c r="A37" s="16" t="str">
        <x:v>Новосибирская ТЭЦ-3</x:v>
      </x:c>
      <x:c r="B37" s="16" t="str">
        <x:v>2000688732-Y112</x:v>
      </x:c>
      <x:c r="C37" s="16" t="str">
        <x:v>ТРУБКА 2-4С 8*3 ГОСТ5496-78</x:v>
      </x:c>
      <x:c r="D37" s="16" t="str">
        <x:v>Резино-технические изделия прочие</x:v>
      </x:c>
      <x:c r="E37" s="16" t="str">
        <x:v>КГ</x:v>
      </x:c>
      <x:c r="F37" s="21" t="n">
        <x:v>41</x:v>
      </x:c>
      <x:c r="G37" s="17" t="n">
        <x:v>97.6244</x:v>
      </x:c>
      <x:c r="H37" s="17" t="n">
        <x:f>G37*F37</x:f>
        <x:v>4002.6004</x:v>
      </x:c>
      <x:c r="I37" s="22" t="str">
        <x:f>HYPERLINK("https://etp-aktiv.ru/catalog/materialy/rezino-tekhnicheskie-izdeliya/2000688732-Y112/","Открыть позицию")</x:f>
        <x:v>Открыть позицию</x:v>
      </x:c>
    </x:row>
    <x:row r="38" ht="28" customHeight="1">
      <x:c r="A38" s="16" t="str">
        <x:v>Новосибирская ТЭЦ-3</x:v>
      </x:c>
      <x:c r="B38" s="16" t="str">
        <x:v>2000548667-Y112</x:v>
      </x:c>
      <x:c r="C38" s="16" t="str">
        <x:v>ТРУБКА ЛИНОКСИНОВАЯ ТЛВ 10ММ</x:v>
      </x:c>
      <x:c r="D38" s="16" t="str">
        <x:v>Электроизоляционные материалы</x:v>
      </x:c>
      <x:c r="E38" s="16" t="str">
        <x:v>М</x:v>
      </x:c>
      <x:c r="F38" s="21" t="n">
        <x:v>40</x:v>
      </x:c>
      <x:c r="G38" s="17" t="n">
        <x:v>4.6238</x:v>
      </x:c>
      <x:c r="H38" s="17" t="n">
        <x:f>G38*F38</x:f>
        <x:v>184.952</x:v>
      </x:c>
      <x:c r="I38" s="22" t="str">
        <x:f>HYPERLINK("https://etp-aktiv.ru/catalog/materialy/ehlektroizolyacionnye-materialy/2000548667-Y112/","Открыть позицию")</x:f>
        <x:v>Открыть позицию</x:v>
      </x:c>
    </x:row>
    <x:row r="39" ht="28" customHeight="1">
      <x:c r="A39" s="16" t="str">
        <x:v>Новосибирская ТЭЦ-3</x:v>
      </x:c>
      <x:c r="B39" s="16" t="str">
        <x:v>2000548669-Y112</x:v>
      </x:c>
      <x:c r="C39" s="16" t="str">
        <x:v>ТРУБКА ПВХ 305 ТВ-40 12ММ БЕЛ ГОСТ19034</x:v>
      </x:c>
      <x:c r="D39" s="16" t="str">
        <x:v>Электроизоляционные материалы</x:v>
      </x:c>
      <x:c r="E39" s="16" t="str">
        <x:v>КГ</x:v>
      </x:c>
      <x:c r="F39" s="30" t="n">
        <x:v>4.28</x:v>
      </x:c>
      <x:c r="G39" s="17" t="n">
        <x:v>88.8526</x:v>
      </x:c>
      <x:c r="H39" s="17" t="n">
        <x:f>G39*F39</x:f>
        <x:v>380.289128</x:v>
      </x:c>
      <x:c r="I39" s="22" t="str">
        <x:f>HYPERLINK("https://etp-aktiv.ru/catalog/materialy/ehlektroizolyacionnye-materialy/2000548669-Y112/","Открыть позицию")</x:f>
        <x:v>Открыть позицию</x:v>
      </x:c>
    </x:row>
    <x:row r="40" ht="28" customHeight="1">
      <x:c r="A40" s="16" t="str">
        <x:v>Новосибирская ТЭЦ-3</x:v>
      </x:c>
      <x:c r="B40" s="16" t="str">
        <x:v>2000548670-Y112</x:v>
      </x:c>
      <x:c r="C40" s="16" t="str">
        <x:v>ТРУБКА ПВХ 305 ТВ-40 16ММ ЧЕРН ГОСТ19034</x:v>
      </x:c>
      <x:c r="D40" s="16" t="str">
        <x:v>Электроизоляционные материалы</x:v>
      </x:c>
      <x:c r="E40" s="16" t="str">
        <x:v>КГ</x:v>
      </x:c>
      <x:c r="F40" s="30" t="n">
        <x:v>15.08</x:v>
      </x:c>
      <x:c r="G40" s="17" t="n">
        <x:v>48.5316</x:v>
      </x:c>
      <x:c r="H40" s="17" t="n">
        <x:f>G40*F40</x:f>
        <x:v>731.8565279999999</x:v>
      </x:c>
      <x:c r="I40" s="22" t="str">
        <x:f>HYPERLINK("https://etp-aktiv.ru/catalog/materialy/ehlektroizolyacionnye-materialy/2000548670-Y112/","Открыть позицию")</x:f>
        <x:v>Открыть позицию</x:v>
      </x:c>
    </x:row>
    <x:row r="41" ht="28" customHeight="1">
      <x:c r="A41" s="16" t="str">
        <x:v>Новосибирская ТЭЦ-3</x:v>
      </x:c>
      <x:c r="B41" s="16" t="str">
        <x:v>2000548685-Y112</x:v>
      </x:c>
      <x:c r="C41" s="16" t="str">
        <x:v>ТРУБКА ПВХ 305 ТВ-40 5ММ БЕЛЫЙ ГОСТ19034</x:v>
      </x:c>
      <x:c r="D41" s="16" t="str">
        <x:v>Электроизоляционные материалы</x:v>
      </x:c>
      <x:c r="E41" s="16" t="str">
        <x:v>КГ</x:v>
      </x:c>
      <x:c r="F41" s="21" t="n">
        <x:v>5</x:v>
      </x:c>
      <x:c r="G41" s="17" t="n">
        <x:v>77.77499999999999</x:v>
      </x:c>
      <x:c r="H41" s="17" t="n">
        <x:f>G41*F41</x:f>
        <x:v>388.87499999999994</x:v>
      </x:c>
      <x:c r="I41" s="22" t="str">
        <x:f>HYPERLINK("https://etp-aktiv.ru/catalog/materialy/ehlektroizolyacionnye-materialy/2000548685-Y112/","Открыть позицию")</x:f>
        <x:v>Открыть позицию</x:v>
      </x:c>
    </x:row>
    <x:row r="42" ht="28" customHeight="1">
      <x:c r="A42" s="16" t="str">
        <x:v>Новосибирская ТЭЦ-3</x:v>
      </x:c>
      <x:c r="B42" s="16" t="str">
        <x:v>2000456495-Y112</x:v>
      </x:c>
      <x:c r="C42" s="16" t="str">
        <x:v>ТРУБКА СИЛИКОНОВАЯ 15*2ММ ТУ9398-152-001</x:v>
      </x:c>
      <x:c r="D42" s="16" t="str">
        <x:v>Химическая посуда</x:v>
      </x:c>
      <x:c r="E42" s="16" t="str">
        <x:v>М</x:v>
      </x:c>
      <x:c r="F42" s="21" t="n">
        <x:v>7</x:v>
      </x:c>
      <x:c r="G42" s="17" t="n">
        <x:v>103.4072</x:v>
      </x:c>
      <x:c r="H42" s="17" t="n">
        <x:f>G42*F42</x:f>
        <x:v>723.8504</x:v>
      </x:c>
      <x:c r="I42" s="22" t="str">
        <x:f>HYPERLINK("https://etp-aktiv.ru/catalog/materialy/mebel-i-bytovaya-tekhnika/2000456495-Y112/","Открыть позицию")</x:f>
        <x:v>Открыть позицию</x:v>
      </x:c>
    </x:row>
    <x:row r="43" ht="28" customHeight="1">
      <x:c r="A43" s="16" t="str">
        <x:v>Новосибирская ТЭЦ-3</x:v>
      </x:c>
      <x:c r="B43" s="16" t="str">
        <x:v>2000166829-Y112</x:v>
      </x:c>
      <x:c r="C43" s="16" t="str">
        <x:v>ТРУБКА ТЕРМОУСАЖИВАЮЩАЯ ТУТНГ 30/15</x:v>
      </x:c>
      <x:c r="D43" s="16" t="str">
        <x:v>Электроизоляционные материалы</x:v>
      </x:c>
      <x:c r="E43" s="16" t="str">
        <x:v>М</x:v>
      </x:c>
      <x:c r="F43" s="21" t="n">
        <x:v>8</x:v>
      </x:c>
      <x:c r="G43" s="17" t="n">
        <x:v>22.2772</x:v>
      </x:c>
      <x:c r="H43" s="17" t="n">
        <x:f>G43*F43</x:f>
        <x:v>178.2176</x:v>
      </x:c>
      <x:c r="I43" s="22" t="str">
        <x:f>HYPERLINK("https://etp-aktiv.ru/catalog/materialy/ehlektroizolyacionnye-materialy/2000166829-Y112/","Открыть позицию")</x:f>
        <x:v>Открыть позицию</x:v>
      </x:c>
    </x:row>
    <x:row r="44" ht="28" customHeight="1">
      <x:c r="A44" s="16" t="str">
        <x:v>Новосибирская ТЭЦ-3</x:v>
      </x:c>
      <x:c r="B44" s="16" t="str">
        <x:v>2000548725-Y112</x:v>
      </x:c>
      <x:c r="C44" s="16" t="str">
        <x:v>ТРУБКА ТЛВ 2ММ</x:v>
      </x:c>
      <x:c r="D44" s="16" t="str">
        <x:v>Электроизоляционные материалы</x:v>
      </x:c>
      <x:c r="E44" s="16" t="str">
        <x:v>М</x:v>
      </x:c>
      <x:c r="F44" s="21" t="n">
        <x:v>40</x:v>
      </x:c>
      <x:c r="G44" s="17" t="n">
        <x:v>1.4151999999999998</x:v>
      </x:c>
      <x:c r="H44" s="17" t="n">
        <x:f>G44*F44</x:f>
        <x:v>56.60799999999999</x:v>
      </x:c>
      <x:c r="I44" s="22" t="str">
        <x:f>HYPERLINK("https://etp-aktiv.ru/catalog/materialy/ehlektroizolyacionnye-materialy/2000548725-Y112/","Открыть позицию")</x:f>
        <x:v>Открыть позицию</x:v>
      </x:c>
    </x:row>
    <x:row r="45" ht="28" customHeight="1">
      <x:c r="A45" s="16" t="str">
        <x:v>Новосибирская ТЭЦ-3</x:v>
      </x:c>
      <x:c r="B45" s="16" t="str">
        <x:v>2000043392-Y112</x:v>
      </x:c>
      <x:c r="C45" s="16" t="str">
        <x:v>ТРУБКА ТЛВ 3ММ</x:v>
      </x:c>
      <x:c r="D45" s="16" t="str">
        <x:v>Электроизоляционные материалы</x:v>
      </x:c>
      <x:c r="E45" s="16" t="str">
        <x:v>М</x:v>
      </x:c>
      <x:c r="F45" s="21" t="n">
        <x:v>175</x:v>
      </x:c>
      <x:c r="G45" s="17" t="n">
        <x:v>1.8177999999999999</x:v>
      </x:c>
      <x:c r="H45" s="17" t="n">
        <x:f>G45*F45</x:f>
        <x:v>318.11499999999995</x:v>
      </x:c>
      <x:c r="I45" s="22" t="str">
        <x:f>HYPERLINK("https://etp-aktiv.ru/catalog/materialy/ehlektroizolyacionnye-materialy/2000043392-Y112/","Открыть позицию")</x:f>
        <x:v>Открыть позицию</x:v>
      </x:c>
    </x:row>
    <x:row r="46" ht="28" customHeight="1">
      <x:c r="A46" s="16" t="str">
        <x:v>Новосибирская ТЭЦ-3</x:v>
      </x:c>
      <x:c r="B46" s="16" t="str">
        <x:v>2000043394-Y112</x:v>
      </x:c>
      <x:c r="C46" s="16" t="str">
        <x:v>ТРУБКА ТЛВ 5,0ММ ГОСТ9614-61</x:v>
      </x:c>
      <x:c r="D46" s="16" t="str">
        <x:v>Электроизоляционные материалы</x:v>
      </x:c>
      <x:c r="E46" s="16" t="str">
        <x:v>М</x:v>
      </x:c>
      <x:c r="F46" s="21" t="n">
        <x:v>105</x:v>
      </x:c>
      <x:c r="G46" s="17" t="n">
        <x:v>3.7697999999999996</x:v>
      </x:c>
      <x:c r="H46" s="17" t="n">
        <x:f>G46*F46</x:f>
        <x:v>395.82899999999995</x:v>
      </x:c>
      <x:c r="I46" s="22" t="str">
        <x:f>HYPERLINK("https://etp-aktiv.ru/catalog/materialy/ehlektroizolyacionnye-materialy/2000043394-Y112/","Открыть позицию")</x:f>
        <x:v>Открыть позицию</x:v>
      </x:c>
    </x:row>
    <x:row r="47" ht="28" customHeight="1">
      <x:c r="A47" s="16" t="str">
        <x:v>Новосибирская ТЭЦ-3</x:v>
      </x:c>
      <x:c r="B47" s="16" t="str">
        <x:v>2000043395-Y112</x:v>
      </x:c>
      <x:c r="C47" s="16" t="str">
        <x:v>ТРУБКА ТЛВ 6ММ ГОСТ9614-61</x:v>
      </x:c>
      <x:c r="D47" s="16" t="str">
        <x:v>Электроизоляционные материалы</x:v>
      </x:c>
      <x:c r="E47" s="16" t="str">
        <x:v>М</x:v>
      </x:c>
      <x:c r="F47" s="21" t="n">
        <x:v>70</x:v>
      </x:c>
      <x:c r="G47" s="17" t="n">
        <x:v>3.8674</x:v>
      </x:c>
      <x:c r="H47" s="17" t="n">
        <x:f>G47*F47</x:f>
        <x:v>270.718</x:v>
      </x:c>
      <x:c r="I47" s="22" t="str">
        <x:f>HYPERLINK("https://etp-aktiv.ru/catalog/materialy/ehlektroizolyacionnye-materialy/2000043395-Y112/","Открыть позицию")</x:f>
        <x:v>Открыть позицию</x:v>
      </x:c>
    </x:row>
    <x:row r="48" ht="28" customHeight="1">
      <x:c r="A48" s="16" t="str">
        <x:v>Новосибирская ТЭЦ-3</x:v>
      </x:c>
      <x:c r="B48" s="16" t="str">
        <x:v>2000069004-Y112</x:v>
      </x:c>
      <x:c r="C48" s="16" t="str">
        <x:v>ТРУБКА ТЛВ 7ММ ГОСТ9614-61</x:v>
      </x:c>
      <x:c r="D48" s="16" t="str">
        <x:v>Электроизоляционные материалы</x:v>
      </x:c>
      <x:c r="E48" s="16" t="str">
        <x:v>М</x:v>
      </x:c>
      <x:c r="F48" s="21" t="n">
        <x:v>40</x:v>
      </x:c>
      <x:c r="G48" s="17" t="n">
        <x:v>9.272</x:v>
      </x:c>
      <x:c r="H48" s="17" t="n">
        <x:f>G48*F48</x:f>
        <x:v>370.88</x:v>
      </x:c>
      <x:c r="I48" s="22" t="str">
        <x:f>HYPERLINK("https://etp-aktiv.ru/catalog/materialy/ehlektroizolyacionnye-materialy/2000069004-Y112/","Открыть позицию")</x:f>
        <x:v>Открыть позицию</x:v>
      </x:c>
    </x:row>
    <x:row r="49" ht="28" customHeight="1">
      <x:c r="A49" s="16" t="str">
        <x:v>Новосибирская ТЭЦ-3</x:v>
      </x:c>
      <x:c r="B49" s="16" t="str">
        <x:v>2000043396-Y112</x:v>
      </x:c>
      <x:c r="C49" s="16" t="str">
        <x:v>ТРУБКА ТЛВ 8ММ</x:v>
      </x:c>
      <x:c r="D49" s="16" t="str">
        <x:v>Электроизоляционные материалы</x:v>
      </x:c>
      <x:c r="E49" s="16" t="str">
        <x:v>М</x:v>
      </x:c>
      <x:c r="F49" s="21" t="n">
        <x:v>50</x:v>
      </x:c>
      <x:c r="G49" s="17" t="n">
        <x:v>5.734</x:v>
      </x:c>
      <x:c r="H49" s="17" t="n">
        <x:f>G49*F49</x:f>
        <x:v>286.7</x:v>
      </x:c>
      <x:c r="I49" s="22" t="str">
        <x:f>HYPERLINK("https://etp-aktiv.ru/catalog/materialy/ehlektroizolyacionnye-materialy/2000043396-Y112/","Открыть позицию")</x:f>
        <x:v>Открыть позицию</x:v>
      </x:c>
    </x:row>
    <x:row r="50" ht="28" customHeight="1">
      <x:c r="A50" s="16" t="str">
        <x:v>Новосибирская ТЭЦ-3</x:v>
      </x:c>
      <x:c r="B50" s="16" t="str">
        <x:v>2000141310-Y112</x:v>
      </x:c>
      <x:c r="C50" s="16" t="str">
        <x:v>ТРУБКА ТУТ 28/11</x:v>
      </x:c>
      <x:c r="D50" s="16" t="str">
        <x:v>Электроизоляционные материалы</x:v>
      </x:c>
      <x:c r="E50" s="16" t="str">
        <x:v>М</x:v>
      </x:c>
      <x:c r="F50" s="30" t="n">
        <x:v>2.6</x:v>
      </x:c>
      <x:c r="G50" s="17" t="n">
        <x:v>19.1296</x:v>
      </x:c>
      <x:c r="H50" s="17" t="n">
        <x:f>G50*F50</x:f>
        <x:v>49.73696</x:v>
      </x:c>
      <x:c r="I50" s="22" t="str">
        <x:f>HYPERLINK("https://etp-aktiv.ru/catalog/materialy/ehlektroizolyacionnye-materialy/2000141310-Y112/","Открыть позицию")</x:f>
        <x:v>Открыть позицию</x:v>
      </x:c>
    </x:row>
    <x:row r="51" ht="28" customHeight="1">
      <x:c r="A51" s="16" t="str">
        <x:v>Новосибирская ТЭЦ-3</x:v>
      </x:c>
      <x:c r="B51" s="16" t="str">
        <x:v>2000554775-Y112</x:v>
      </x:c>
      <x:c r="C51" s="16" t="str">
        <x:v>ФЛАНЕЦ 09Г2С DN65 PN1,6 И.1 ГОСТ12820</x:v>
      </x:c>
      <x:c r="D51" s="16" t="str">
        <x:v>Детали фасонные</x:v>
      </x:c>
      <x:c r="E51" s="16" t="str">
        <x:v>ШТ</x:v>
      </x:c>
      <x:c r="F51" s="21" t="n">
        <x:v>1</x:v>
      </x:c>
      <x:c r="G51" s="17" t="n">
        <x:v>21.96</x:v>
      </x:c>
      <x:c r="H51" s="17" t="n">
        <x:f>G51*F51</x:f>
        <x:v>21.96</x:v>
      </x:c>
      <x:c r="I51" s="22" t="str">
        <x:f>HYPERLINK("https://etp-aktiv.ru/catalog/materialy/truboprovody/2000554775-Y112/","Открыть позицию")</x:f>
        <x:v>Открыть позицию</x:v>
      </x:c>
    </x:row>
    <x:row r="52" ht="28" customHeight="1">
      <x:c r="A52" s="16" t="str">
        <x:v>Новосибирская ТЭЦ-3</x:v>
      </x:c>
      <x:c r="B52" s="16" t="str">
        <x:v>2000168896-Y112</x:v>
      </x:c>
      <x:c r="C52" s="16" t="str">
        <x:v>ФЛАНЕЦ СТ20 DN125 PN16 ИСП1 ГОСТ12821-80</x:v>
      </x:c>
      <x:c r="D52" s="16" t="str">
        <x:v>Детали фасонные</x:v>
      </x:c>
      <x:c r="E52" s="16" t="str">
        <x:v>ШТ</x:v>
      </x:c>
      <x:c r="F52" s="21" t="n">
        <x:v>17</x:v>
      </x:c>
      <x:c r="G52" s="17" t="n">
        <x:v>1128.195</x:v>
      </x:c>
      <x:c r="H52" s="17" t="n">
        <x:f>G52*F52</x:f>
        <x:v>19179.315</x:v>
      </x:c>
      <x:c r="I52" s="22" t="str">
        <x:f>HYPERLINK("https://etp-aktiv.ru/catalog/materialy/truboprovody/2000168896-Y112/","Открыть позицию")</x:f>
        <x:v>Открыть позицию</x:v>
      </x:c>
    </x:row>
    <x:row r="53" ht="28" customHeight="1">
      <x:c r="A53" s="16" t="str">
        <x:v>Новосибирская ТЭЦ-4</x:v>
      </x:c>
      <x:c r="B53" s="16" t="str">
        <x:v>2000553064-Y113</x:v>
      </x:c>
      <x:c r="C53" s="16" t="str">
        <x:v>БЛОК ХОМУТОВЫЙ 04 ОСТ108.275.64-80</x:v>
      </x:c>
      <x:c r="D53" s="16" t="str">
        <x:v>Система опорно-подвесная</x:v>
      </x:c>
      <x:c r="E53" s="16" t="str">
        <x:v>ШТ</x:v>
      </x:c>
      <x:c r="F53" s="21" t="n">
        <x:v>3</x:v>
      </x:c>
      <x:c r="G53" s="17" t="n">
        <x:v>7.32</x:v>
      </x:c>
      <x:c r="H53" s="17" t="n">
        <x:f>G53*F53</x:f>
        <x:v>21.96</x:v>
      </x:c>
      <x:c r="I53" s="22" t="str">
        <x:f>HYPERLINK("https://etp-aktiv.ru/catalog/materialy/truboprovody/2000553064-Y113/","Открыть позицию")</x:f>
        <x:v>Открыть позицию</x:v>
      </x:c>
    </x:row>
    <x:row r="54" ht="28" customHeight="1">
      <x:c r="A54" s="16" t="str">
        <x:v>Новосибирская ТЭЦ-4</x:v>
      </x:c>
      <x:c r="B54" s="16" t="str">
        <x:v>2000553073-Y113</x:v>
      </x:c>
      <x:c r="C54" s="16" t="str">
        <x:v>БОЛТ ОТЖИМНОЙ М20 03 ОСТ34-10-757-97</x:v>
      </x:c>
      <x:c r="D54" s="16" t="str">
        <x:v>Система опорно-подвесная</x:v>
      </x:c>
      <x:c r="E54" s="16" t="str">
        <x:v>ШТ</x:v>
      </x:c>
      <x:c r="F54" s="21" t="n">
        <x:v>10</x:v>
      </x:c>
      <x:c r="G54" s="17" t="n">
        <x:v>3.66</x:v>
      </x:c>
      <x:c r="H54" s="17" t="n">
        <x:f>G54*F54</x:f>
        <x:v>36.6</x:v>
      </x:c>
      <x:c r="I54" s="22" t="str">
        <x:f>HYPERLINK("https://etp-aktiv.ru/catalog/materialy/truboprovody/2000553073-Y113/","Открыть позицию")</x:f>
        <x:v>Открыть позицию</x:v>
      </x:c>
    </x:row>
    <x:row r="55" ht="28" customHeight="1">
      <x:c r="A55" s="16" t="str">
        <x:v>Новосибирская ТЭЦ-4</x:v>
      </x:c>
      <x:c r="B55" s="16" t="str">
        <x:v>2000618308-Y113</x:v>
      </x:c>
      <x:c r="C55" s="16" t="str">
        <x:v>ЗАГЛУШКА 17ГС 250-1,6 21 ОСТ34.10.758-97</x:v>
      </x:c>
      <x:c r="D55" s="16" t="str">
        <x:v>Детали фасонные</x:v>
      </x:c>
      <x:c r="E55" s="16" t="str">
        <x:v>ШТ</x:v>
      </x:c>
      <x:c r="F55" s="21" t="n">
        <x:v>1</x:v>
      </x:c>
      <x:c r="G55" s="17" t="n">
        <x:v>854.2318</x:v>
      </x:c>
      <x:c r="H55" s="17" t="n">
        <x:f>G55*F55</x:f>
        <x:v>854.2318</x:v>
      </x:c>
      <x:c r="I55" s="22" t="str">
        <x:f>HYPERLINK("https://etp-aktiv.ru/catalog/materialy/truboprovody/2000618308-Y113/","Открыть позицию")</x:f>
        <x:v>Открыть позицию</x:v>
      </x:c>
    </x:row>
    <x:row r="56" ht="28" customHeight="1">
      <x:c r="A56" s="16" t="str">
        <x:v>Новосибирская ТЭЦ-4</x:v>
      </x:c>
      <x:c r="B56" s="16" t="str">
        <x:v>2000251168-Y113</x:v>
      </x:c>
      <x:c r="C56" s="16" t="str">
        <x:v>МУФТА PP DN40</x:v>
      </x:c>
      <x:c r="D56" s="16" t="str">
        <x:v>Фитинги труб полимерных</x:v>
      </x:c>
      <x:c r="E56" s="16" t="str">
        <x:v>ШТ</x:v>
      </x:c>
      <x:c r="F56" s="21" t="n">
        <x:v>5</x:v>
      </x:c>
      <x:c r="G56" s="17" t="n">
        <x:v>12.81</x:v>
      </x:c>
      <x:c r="H56" s="17" t="n">
        <x:f>G56*F56</x:f>
        <x:v>64.05</x:v>
      </x:c>
      <x:c r="I56" s="22" t="str">
        <x:f>HYPERLINK("https://etp-aktiv.ru/catalog/materialy/truboprovody/2000251168-Y113/","Открыть позицию")</x:f>
        <x:v>Открыть позицию</x:v>
      </x:c>
    </x:row>
    <x:row r="57" ht="28" customHeight="1">
      <x:c r="A57" s="16" t="str">
        <x:v>Новосибирская ТЭЦ-4</x:v>
      </x:c>
      <x:c r="B57" s="16" t="str">
        <x:v>2000582160-Y113</x:v>
      </x:c>
      <x:c r="C57" s="16" t="str">
        <x:v>МУФТА СОЕДИНИТЕЛЬНАЯ PP 32 SPK1012</x:v>
      </x:c>
      <x:c r="D57" s="16" t="str">
        <x:v>Фитинги труб полимерных</x:v>
      </x:c>
      <x:c r="E57" s="16" t="str">
        <x:v>ШТ</x:v>
      </x:c>
      <x:c r="F57" s="21" t="n">
        <x:v>10</x:v>
      </x:c>
      <x:c r="G57" s="17" t="n">
        <x:v>45.3962</x:v>
      </x:c>
      <x:c r="H57" s="17" t="n">
        <x:f>G57*F57</x:f>
        <x:v>453.962</x:v>
      </x:c>
      <x:c r="I57" s="22" t="str">
        <x:f>HYPERLINK("https://etp-aktiv.ru/catalog/materialy/truboprovody/2000582160-Y113/","Открыть позицию")</x:f>
        <x:v>Открыть позицию</x:v>
      </x:c>
    </x:row>
    <x:row r="58" ht="28" customHeight="1">
      <x:c r="A58" s="16" t="str">
        <x:v>Новосибирская ТЭЦ-4</x:v>
      </x:c>
      <x:c r="B58" s="16" t="str">
        <x:v>2000553088-Y113</x:v>
      </x:c>
      <x:c r="C58" s="16" t="str">
        <x:v>ОПОРА 133 04 ОСТ108.275.25-80</x:v>
      </x:c>
      <x:c r="D58" s="16" t="str">
        <x:v>Система опорно-подвесная</x:v>
      </x:c>
      <x:c r="E58" s="16" t="str">
        <x:v>ШТ</x:v>
      </x:c>
      <x:c r="F58" s="21" t="n">
        <x:v>1</x:v>
      </x:c>
      <x:c r="G58" s="17" t="n">
        <x:v>45.75</x:v>
      </x:c>
      <x:c r="H58" s="17" t="n">
        <x:f>G58*F58</x:f>
        <x:v>45.75</x:v>
      </x:c>
      <x:c r="I58" s="22" t="str">
        <x:f>HYPERLINK("https://etp-aktiv.ru/catalog/materialy/truboprovody/2000553088-Y113/","Открыть позицию")</x:f>
        <x:v>Открыть позицию</x:v>
      </x:c>
    </x:row>
    <x:row r="59" ht="28" customHeight="1">
      <x:c r="A59" s="16" t="str">
        <x:v>Новосибирская ТЭЦ-4</x:v>
      </x:c>
      <x:c r="B59" s="16" t="str">
        <x:v>2000554359-Y113</x:v>
      </x:c>
      <x:c r="C59" s="16" t="str">
        <x:v>ОТВОД 60° СТ20 DN159*6 ГОСТ17375-01</x:v>
      </x:c>
      <x:c r="D59" s="16" t="str">
        <x:v>Детали фасонные</x:v>
      </x:c>
      <x:c r="E59" s="16" t="str">
        <x:v>ШТ</x:v>
      </x:c>
      <x:c r="F59" s="21" t="n">
        <x:v>1</x:v>
      </x:c>
      <x:c r="G59" s="17" t="n">
        <x:v>1113.5428</x:v>
      </x:c>
      <x:c r="H59" s="17" t="n">
        <x:f>G59*F59</x:f>
        <x:v>1113.5428</x:v>
      </x:c>
      <x:c r="I59" s="22" t="str">
        <x:f>HYPERLINK("https://etp-aktiv.ru/catalog/materialy/truboprovody/2000554359-Y113/","Открыть позицию")</x:f>
        <x:v>Открыть позицию</x:v>
      </x:c>
    </x:row>
    <x:row r="60" ht="28" customHeight="1">
      <x:c r="A60" s="16" t="str">
        <x:v>Новосибирская ТЭЦ-4</x:v>
      </x:c>
      <x:c r="B60" s="16" t="str">
        <x:v>2000609120-Y113</x:v>
      </x:c>
      <x:c r="C60" s="16" t="str">
        <x:v>ТРУБКА ДКРНМ ЛО70-1 24*1*6380</x:v>
      </x:c>
      <x:c r="D60" s="16" t="str">
        <x:v>Металлопрокат цветной</x:v>
      </x:c>
      <x:c r="E60" s="16" t="str">
        <x:v>КГ</x:v>
      </x:c>
      <x:c r="F60" s="21" t="n">
        <x:v>50</x:v>
      </x:c>
      <x:c r="G60" s="17" t="n">
        <x:v>683.1999999999999</x:v>
      </x:c>
      <x:c r="H60" s="17" t="n">
        <x:f>G60*F60</x:f>
        <x:v>34160</x:v>
      </x:c>
      <x:c r="I60" s="22" t="str">
        <x:f>HYPERLINK("https://etp-aktiv.ru/catalog/materialy/metalloprodukciya/2000609120-Y113/","Открыть позицию")</x:f>
        <x:v>Открыть позицию</x:v>
      </x:c>
    </x:row>
    <x:row r="61" ht="28" customHeight="1">
      <x:c r="A61" s="16" t="str">
        <x:v>Новосибирская ТЭЦ-4</x:v>
      </x:c>
      <x:c r="B61" s="16" t="str">
        <x:v>2000795272-Y113</x:v>
      </x:c>
      <x:c r="C61" s="16" t="str">
        <x:v>ФИТИНГ СГОН РАЗЪЕМНЫЙ VTR.341.N.0004 1/2</x:v>
      </x:c>
      <x:c r="D61" s="16" t="str">
        <x:v>Детали фасонные</x:v>
      </x:c>
      <x:c r="E61" s="16" t="str">
        <x:v>ШТ</x:v>
      </x:c>
      <x:c r="F61" s="21" t="n">
        <x:v>22</x:v>
      </x:c>
      <x:c r="G61" s="17" t="n">
        <x:v>14.3106</x:v>
      </x:c>
      <x:c r="H61" s="17" t="n">
        <x:f>G61*F61</x:f>
        <x:v>314.83320000000003</x:v>
      </x:c>
      <x:c r="I61" s="22" t="str">
        <x:f>HYPERLINK("https://etp-aktiv.ru/catalog/materialy/truboprovody/2000795272-Y113/","Открыть позицию")</x:f>
        <x:v>Открыть позицию</x:v>
      </x:c>
    </x:row>
    <x:row r="62" ht="28" customHeight="1">
      <x:c r="A62" s="16" t="str">
        <x:v>Новосибирская ТЭЦ-4</x:v>
      </x:c>
      <x:c r="B62" s="16" t="str">
        <x:v>2000555371-Y113</x:v>
      </x:c>
      <x:c r="C62" s="16" t="str">
        <x:v>ШТУЦЕР СТ20 25*2-20 016 ОСТ34.10.761</x:v>
      </x:c>
      <x:c r="D62" s="16" t="str">
        <x:v>Детали фасонные</x:v>
      </x:c>
      <x:c r="E62" s="16" t="str">
        <x:v>ШТ</x:v>
      </x:c>
      <x:c r="F62" s="21" t="n">
        <x:v>4</x:v>
      </x:c>
      <x:c r="G62" s="17" t="n">
        <x:v>5.49</x:v>
      </x:c>
      <x:c r="H62" s="17" t="n">
        <x:f>G62*F62</x:f>
        <x:v>21.96</x:v>
      </x:c>
      <x:c r="I62" s="22" t="str">
        <x:f>HYPERLINK("https://etp-aktiv.ru/catalog/materialy/truboprovody/2000555371-Y113/","Открыть позицию")</x:f>
        <x:v>Открыть позицию</x:v>
      </x:c>
    </x:row>
    <x:row r="63" ht="28" customHeight="1">
      <x:c r="A63" s="16" t="str">
        <x:v>Новосибирская ТЭЦ-5</x:v>
      </x:c>
      <x:c r="B63" s="16" t="str">
        <x:v>2000526676-Y114</x:v>
      </x:c>
      <x:c r="C63" s="16" t="str">
        <x:v>ВИЛКА 11.00.79.04 КЛАПАНА 1194-65-Э</x:v>
      </x:c>
      <x:c r="D63" s="16" t="str">
        <x:v>Запасные части к трубопроводной арматуре</x:v>
      </x:c>
      <x:c r="E63" s="16" t="str">
        <x:v>ШТ</x:v>
      </x:c>
      <x:c r="F63" s="21" t="n">
        <x:v>10</x:v>
      </x:c>
      <x:c r="G63" s="17" t="n">
        <x:v>54.9</x:v>
      </x:c>
      <x:c r="H63" s="17" t="n">
        <x:f>G63*F63</x:f>
        <x:v>549</x:v>
      </x:c>
      <x:c r="I63" s="22" t="str">
        <x:f>HYPERLINK("https://etp-aktiv.ru/catalog/materialy/truboprovodnaya-armatura-i-komplektuyushchie/2000526676-Y114/","Открыть позицию")</x:f>
        <x:v>Открыть позицию</x:v>
      </x:c>
    </x:row>
    <x:row r="64" ht="28" customHeight="1">
      <x:c r="A64" s="16" t="str">
        <x:v>Новосибирская ТЭЦ-5</x:v>
      </x:c>
      <x:c r="B64" s="16" t="str">
        <x:v>2000527618-Y114</x:v>
      </x:c>
      <x:c r="C64" s="16" t="str">
        <x:v>ВТУЛКА РЕЗЬБОВ ЦЦР0.093.01 АРМ DN50 PN16</x:v>
      </x:c>
      <x:c r="D64" s="16" t="str">
        <x:v>Запасные части к трубопроводной арматуре</x:v>
      </x:c>
      <x:c r="E64" s="16" t="str">
        <x:v>ШТ</x:v>
      </x:c>
      <x:c r="F64" s="21" t="n">
        <x:v>2</x:v>
      </x:c>
      <x:c r="G64" s="17" t="n">
        <x:v>9.15</x:v>
      </x:c>
      <x:c r="H64" s="17" t="n">
        <x:f>G64*F64</x:f>
        <x:v>18.3</x:v>
      </x:c>
      <x:c r="I64" s="22" t="str">
        <x:f>HYPERLINK("https://etp-aktiv.ru/catalog/materialy/truboprovodnaya-armatura-i-komplektuyushchie/2000527618-Y114/","Открыть позицию")</x:f>
        <x:v>Открыть позицию</x:v>
      </x:c>
    </x:row>
    <x:row r="65" ht="28" customHeight="1">
      <x:c r="A65" s="16" t="str">
        <x:v>Новосибирская ТЭЦ-5</x:v>
      </x:c>
      <x:c r="B65" s="16" t="str">
        <x:v>2000526685-Y114</x:v>
      </x:c>
      <x:c r="C65" s="16" t="str">
        <x:v>ВТУЛКА ЭС.00.870.00 КЛАПАНА 1194-65</x:v>
      </x:c>
      <x:c r="D65" s="16" t="str">
        <x:v>Запасные части к трубопроводной арматуре</x:v>
      </x:c>
      <x:c r="E65" s="16" t="str">
        <x:v>ШТ</x:v>
      </x:c>
      <x:c r="F65" s="21" t="n">
        <x:v>23</x:v>
      </x:c>
      <x:c r="G65" s="17" t="n">
        <x:v>28.06</x:v>
      </x:c>
      <x:c r="H65" s="17" t="n">
        <x:f>G65*F65</x:f>
        <x:v>645.38</x:v>
      </x:c>
      <x:c r="I65" s="22" t="str">
        <x:f>HYPERLINK("https://etp-aktiv.ru/catalog/materialy/truboprovodnaya-armatura-i-komplektuyushchie/2000526685-Y114/","Открыть позицию")</x:f>
        <x:v>Открыть позицию</x:v>
      </x:c>
    </x:row>
    <x:row r="66" ht="28" customHeight="1">
      <x:c r="A66" s="16" t="str">
        <x:v>Новосибирская ТЭЦ-5</x:v>
      </x:c>
      <x:c r="B66" s="16" t="str">
        <x:v>2000560949-Y114</x:v>
      </x:c>
      <x:c r="C66" s="16" t="str">
        <x:v>ГИДРОЗАТВОР ГБ-13 600-1000ММ</x:v>
      </x:c>
      <x:c r="D66" s="16" t="str">
        <x:v>Детали фасонные</x:v>
      </x:c>
      <x:c r="E66" s="16" t="str">
        <x:v>ШТ</x:v>
      </x:c>
      <x:c r="F66" s="21" t="n">
        <x:v>1</x:v>
      </x:c>
      <x:c r="G66" s="17" t="n">
        <x:v>5815.679</x:v>
      </x:c>
      <x:c r="H66" s="17" t="n">
        <x:f>G66*F66</x:f>
        <x:v>5815.679</x:v>
      </x:c>
      <x:c r="I66" s="22" t="str">
        <x:f>HYPERLINK("https://etp-aktiv.ru/catalog/materialy/truboprovody/2000560949-Y114/","Открыть позицию")</x:f>
        <x:v>Открыть позицию</x:v>
      </x:c>
    </x:row>
    <x:row r="67" ht="28" customHeight="1">
      <x:c r="A67" s="16" t="str">
        <x:v>Новосибирская ТЭЦ-5</x:v>
      </x:c>
      <x:c r="B67" s="16" t="str">
        <x:v>2000560950-Y114</x:v>
      </x:c>
      <x:c r="C67" s="16" t="str">
        <x:v>ГИДРОЗАТВОР ГМ-3 200-360ММ</x:v>
      </x:c>
      <x:c r="D67" s="16" t="str">
        <x:v>Детали фасонные</x:v>
      </x:c>
      <x:c r="E67" s="16" t="str">
        <x:v>ШТ</x:v>
      </x:c>
      <x:c r="F67" s="21" t="n">
        <x:v>4</x:v>
      </x:c>
      <x:c r="G67" s="17" t="n">
        <x:v>1098.5123999999998</x:v>
      </x:c>
      <x:c r="H67" s="17" t="n">
        <x:f>G67*F67</x:f>
        <x:v>4394.049599999999</x:v>
      </x:c>
      <x:c r="I67" s="22" t="str">
        <x:f>HYPERLINK("https://etp-aktiv.ru/catalog/materialy/truboprovody/2000560950-Y114/","Открыть позицию")</x:f>
        <x:v>Открыть позицию</x:v>
      </x:c>
    </x:row>
    <x:row r="68" ht="28" customHeight="1">
      <x:c r="A68" s="16" t="str">
        <x:v>Новосибирская ТЭЦ-5</x:v>
      </x:c>
      <x:c r="B68" s="16" t="str">
        <x:v>2000527626-Y114</x:v>
      </x:c>
      <x:c r="C68" s="16" t="str">
        <x:v>КРОНШТЕЙН 11.00.79.02-01 КЛАПАНА 1194-50</x:v>
      </x:c>
      <x:c r="D68" s="16" t="str">
        <x:v>Запасные части к трубопроводной арматуре</x:v>
      </x:c>
      <x:c r="E68" s="16" t="str">
        <x:v>ШТ</x:v>
      </x:c>
      <x:c r="F68" s="21" t="n">
        <x:v>20</x:v>
      </x:c>
      <x:c r="G68" s="17" t="n">
        <x:v>3.66</x:v>
      </x:c>
      <x:c r="H68" s="17" t="n">
        <x:f>G68*F68</x:f>
        <x:v>73.2</x:v>
      </x:c>
      <x:c r="I68" s="22" t="str">
        <x:f>HYPERLINK("https://etp-aktiv.ru/catalog/materialy/truboprovodnaya-armatura-i-komplektuyushchie/2000527626-Y114/","Открыть позицию")</x:f>
        <x:v>Открыть позицию</x:v>
      </x:c>
    </x:row>
    <x:row r="69" ht="28" customHeight="1">
      <x:c r="A69" s="16" t="str">
        <x:v>Новосибирская ТЭЦ-5</x:v>
      </x:c>
      <x:c r="B69" s="16" t="str">
        <x:v>2000555169-Y114</x:v>
      </x:c>
      <x:c r="C69" s="16" t="str">
        <x:v>ТРОЙНИК СТ20 159*6-180*5 ГОСТ17376-01</x:v>
      </x:c>
      <x:c r="D69" s="16" t="str">
        <x:v>Детали фасонные</x:v>
      </x:c>
      <x:c r="E69" s="16" t="str">
        <x:v>ШТ</x:v>
      </x:c>
      <x:c r="F69" s="21" t="n">
        <x:v>6</x:v>
      </x:c>
      <x:c r="G69" s="17" t="n">
        <x:v>128.1</x:v>
      </x:c>
      <x:c r="H69" s="17" t="n">
        <x:f>G69*F69</x:f>
        <x:v>768.5999999999999</x:v>
      </x:c>
      <x:c r="I69" s="22" t="str">
        <x:f>HYPERLINK("https://etp-aktiv.ru/catalog/materialy/truboprovody/2000555169-Y114/","Открыть позицию")</x:f>
        <x:v>Открыть позицию</x:v>
      </x:c>
    </x:row>
    <x:row r="70" ht="28" customHeight="1">
      <x:c r="A70" s="16" t="str">
        <x:v>Новосибирская ТЭЦ-5</x:v>
      </x:c>
      <x:c r="B70" s="16" t="str">
        <x:v>2000585613-Y114</x:v>
      </x:c>
      <x:c r="C70" s="16" t="str">
        <x:v>ТРУБКА ПВХ МЕД 12*2 ТУ2545-285-00152106</x:v>
      </x:c>
      <x:c r="D70" s="16" t="str">
        <x:v>Резино-технические изделия прочие</x:v>
      </x:c>
      <x:c r="E70" s="16" t="str">
        <x:v>М</x:v>
      </x:c>
      <x:c r="F70" s="30" t="n">
        <x:v>39.2</x:v>
      </x:c>
      <x:c r="G70" s="17" t="n">
        <x:v>179.92559999999997</x:v>
      </x:c>
      <x:c r="H70" s="17" t="n">
        <x:f>G70*F70</x:f>
        <x:v>7053.083519999999</x:v>
      </x:c>
      <x:c r="I70" s="22" t="str">
        <x:f>HYPERLINK("https://etp-aktiv.ru/catalog/materialy/rezino-tekhnicheskie-izdeliya/2000585613-Y114/","Открыть позицию")</x:f>
        <x:v>Открыть позицию</x:v>
      </x:c>
    </x:row>
    <x:row r="71" ht="28" customHeight="1">
      <x:c r="A71" s="16" t="str">
        <x:v>Новосибирская ТЭЦ-5</x:v>
      </x:c>
      <x:c r="B71" s="16" t="str">
        <x:v>2000043229-Y114</x:v>
      </x:c>
      <x:c r="C71" s="16" t="str">
        <x:v>ТРУБКА ПВХ ТВ-40 D16ММ</x:v>
      </x:c>
      <x:c r="D71" s="16" t="str">
        <x:v>Электроизоляционные материалы</x:v>
      </x:c>
      <x:c r="E71" s="16" t="str">
        <x:v>КГ</x:v>
      </x:c>
      <x:c r="F71" s="30" t="n">
        <x:v>5.1</x:v>
      </x:c>
      <x:c r="G71" s="17" t="n">
        <x:v>96.9046</x:v>
      </x:c>
      <x:c r="H71" s="17" t="n">
        <x:f>G71*F71</x:f>
        <x:v>494.21346</x:v>
      </x:c>
      <x:c r="I71" s="22" t="str">
        <x:f>HYPERLINK("https://etp-aktiv.ru/catalog/materialy/ehlektroizolyacionnye-materialy/2000043229-Y114/","Открыть позицию")</x:f>
        <x:v>Открыть позицию</x:v>
      </x:c>
    </x:row>
    <x:row r="72" ht="28" customHeight="1">
      <x:c r="A72" s="16" t="str">
        <x:v>Новосибирская ТЭЦ-5</x:v>
      </x:c>
      <x:c r="B72" s="16" t="str">
        <x:v>2000282631-Y114</x:v>
      </x:c>
      <x:c r="C72" s="16" t="str">
        <x:v>ФЛАНЕЦ DN50 PN16 КРЕП/ПРОКЛ ГОСТ12820-80</x:v>
      </x:c>
      <x:c r="D72" s="16" t="str">
        <x:v>Детали фасонные</x:v>
      </x:c>
      <x:c r="E72" s="16" t="str">
        <x:v>КМП</x:v>
      </x:c>
      <x:c r="F72" s="21" t="n">
        <x:v>51</x:v>
      </x:c>
      <x:c r="G72" s="17" t="n">
        <x:v>950.0018</x:v>
      </x:c>
      <x:c r="H72" s="17" t="n">
        <x:f>G72*F72</x:f>
        <x:v>48450.0918</x:v>
      </x:c>
      <x:c r="I72" s="22" t="str">
        <x:f>HYPERLINK("https://etp-aktiv.ru/catalog/materialy/truboprovody/2000282631-Y114/","Открыть позицию")</x:f>
        <x:v>Открыть позицию</x:v>
      </x:c>
    </x:row>
    <x:row r="73" ht="28" customHeight="1">
      <x:c r="A73" s="16" t="str">
        <x:v>Новосибирская ТЭЦ-5</x:v>
      </x:c>
      <x:c r="B73" s="16" t="str">
        <x:v>2000554674-Y114</x:v>
      </x:c>
      <x:c r="C73" s="16" t="str">
        <x:v>ФЛАНЕЦ СТ20 DN10 PN25 ИСП.1 ГОСТ33259</x:v>
      </x:c>
      <x:c r="D73" s="16" t="str">
        <x:v>Детали фасонные</x:v>
      </x:c>
      <x:c r="E73" s="16" t="str">
        <x:v>ШТ</x:v>
      </x:c>
      <x:c r="F73" s="21" t="n">
        <x:v>3</x:v>
      </x:c>
      <x:c r="G73" s="17" t="n">
        <x:v>18.3</x:v>
      </x:c>
      <x:c r="H73" s="17" t="n">
        <x:f>G73*F73</x:f>
        <x:v>54.900000000000006</x:v>
      </x:c>
      <x:c r="I73" s="22" t="str">
        <x:f>HYPERLINK("https://etp-aktiv.ru/catalog/materialy/truboprovody/2000554674-Y114/","Открыть позицию")</x:f>
        <x:v>Открыть позицию</x:v>
      </x:c>
    </x:row>
    <x:row r="74" ht="28" customHeight="1">
      <x:c r="A74" s="16" t="str">
        <x:v>Новосибирская ТЭЦ-5</x:v>
      </x:c>
      <x:c r="B74" s="16" t="str">
        <x:v>2000554675-Y114</x:v>
      </x:c>
      <x:c r="C74" s="16" t="str">
        <x:v>ФЛАНЕЦ СТ20 DN10 PN25 ИСП.1 ГОСТ33259</x:v>
      </x:c>
      <x:c r="D74" s="16" t="str">
        <x:v>Детали фасонные</x:v>
      </x:c>
      <x:c r="E74" s="16" t="str">
        <x:v>ШТ</x:v>
      </x:c>
      <x:c r="F74" s="21" t="n">
        <x:v>3</x:v>
      </x:c>
      <x:c r="G74" s="17" t="n">
        <x:v>18.3</x:v>
      </x:c>
      <x:c r="H74" s="17" t="n">
        <x:f>G74*F74</x:f>
        <x:v>54.900000000000006</x:v>
      </x:c>
      <x:c r="I74" s="22" t="str">
        <x:f>HYPERLINK("https://etp-aktiv.ru/catalog/materialy/truboprovody/2000554675-Y114/","Открыть позицию")</x:f>
        <x:v>Открыть позицию</x:v>
      </x:c>
    </x:row>
    <x:row r="75" ht="28" customHeight="1">
      <x:c r="A75" s="16" t="str">
        <x:v>Новосибирская ТЭЦ-5</x:v>
      </x:c>
      <x:c r="B75" s="16" t="str">
        <x:v>2000472354-Y114</x:v>
      </x:c>
      <x:c r="C75" s="16" t="str">
        <x:v>ФЛАНЕЦ СТ20 DN300 PN40 ИСП1 ГОСТ12820-80</x:v>
      </x:c>
      <x:c r="D75" s="16" t="str">
        <x:v>Детали фасонные</x:v>
      </x:c>
      <x:c r="E75" s="16" t="str">
        <x:v>ШТ</x:v>
      </x:c>
      <x:c r="F75" s="21" t="n">
        <x:v>4</x:v>
      </x:c>
      <x:c r="G75" s="17" t="n">
        <x:v>6228.6124</x:v>
      </x:c>
      <x:c r="H75" s="17" t="n">
        <x:f>G75*F75</x:f>
        <x:v>24914.4496</x:v>
      </x:c>
      <x:c r="I75" s="22" t="str">
        <x:f>HYPERLINK("https://etp-aktiv.ru/catalog/materialy/truboprovody/2000472354-Y114/","Открыть позицию")</x:f>
        <x:v>Открыть позицию</x:v>
      </x:c>
    </x:row>
    <x:row r="76" ht="28" customHeight="1">
      <x:c r="A76" s="16" t="str">
        <x:v>Новосибирская ТЭЦ-5</x:v>
      </x:c>
      <x:c r="B76" s="16" t="str">
        <x:v>2000554827-Y114</x:v>
      </x:c>
      <x:c r="C76" s="16" t="str">
        <x:v>ФЛАНЕЦ СТ20 DN32 PN25 01-1-E-IV Г33259</x:v>
      </x:c>
      <x:c r="D76" s="16" t="str">
        <x:v>Детали фасонные</x:v>
      </x:c>
      <x:c r="E76" s="16" t="str">
        <x:v>ШТ</x:v>
      </x:c>
      <x:c r="F76" s="21" t="n">
        <x:v>3</x:v>
      </x:c>
      <x:c r="G76" s="17" t="n">
        <x:v>36.6</x:v>
      </x:c>
      <x:c r="H76" s="17" t="n">
        <x:f>G76*F76</x:f>
        <x:v>109.80000000000001</x:v>
      </x:c>
      <x:c r="I76" s="22" t="str">
        <x:f>HYPERLINK("https://etp-aktiv.ru/catalog/materialy/truboprovody/2000554827-Y114/","Открыть позицию")</x:f>
        <x:v>Открыть позицию</x:v>
      </x:c>
    </x:row>
    <x:row r="77" ht="28" customHeight="1">
      <x:c r="A77" s="16" t="str">
        <x:v>Новосибирская ТЭЦ-5</x:v>
      </x:c>
      <x:c r="B77" s="16" t="str">
        <x:v>2000554840-Y114</x:v>
      </x:c>
      <x:c r="C77" s="16" t="str">
        <x:v>ФЛАНЕЦ СТ20 DN40 PN25 01-1-E-IV Г33259</x:v>
      </x:c>
      <x:c r="D77" s="16" t="str">
        <x:v>Детали фасонные</x:v>
      </x:c>
      <x:c r="E77" s="16" t="str">
        <x:v>ШТ</x:v>
      </x:c>
      <x:c r="F77" s="21" t="n">
        <x:v>3</x:v>
      </x:c>
      <x:c r="G77" s="17" t="n">
        <x:v>45.75</x:v>
      </x:c>
      <x:c r="H77" s="17" t="n">
        <x:f>G77*F77</x:f>
        <x:v>137.25</x:v>
      </x:c>
      <x:c r="I77" s="22" t="str">
        <x:f>HYPERLINK("https://etp-aktiv.ru/catalog/materialy/truboprovody/2000554840-Y114/","Открыть позицию")</x:f>
        <x:v>Открыть позицию</x:v>
      </x:c>
    </x:row>
    <x:row r="78" ht="28" customHeight="1">
      <x:c r="A78" s="16" t="str">
        <x:v>Новосибирская ТЭЦ-5</x:v>
      </x:c>
      <x:c r="B78" s="16" t="str">
        <x:v>2000554841-Y114</x:v>
      </x:c>
      <x:c r="C78" s="16" t="str">
        <x:v>ФЛАНЕЦ СТ20 DN40 PN25 01-1-F-IV Г33259</x:v>
      </x:c>
      <x:c r="D78" s="16" t="str">
        <x:v>Детали фасонные</x:v>
      </x:c>
      <x:c r="E78" s="16" t="str">
        <x:v>ШТ</x:v>
      </x:c>
      <x:c r="F78" s="21" t="n">
        <x:v>7</x:v>
      </x:c>
      <x:c r="G78" s="17" t="n">
        <x:v>45.75</x:v>
      </x:c>
      <x:c r="H78" s="17" t="n">
        <x:f>G78*F78</x:f>
        <x:v>320.25</x:v>
      </x:c>
      <x:c r="I78" s="22" t="str">
        <x:f>HYPERLINK("https://etp-aktiv.ru/catalog/materialy/truboprovody/2000554841-Y114/","Открыть позицию")</x:f>
        <x:v>Открыть позицию</x:v>
      </x:c>
    </x:row>
    <x:row r="79" ht="28" customHeight="1">
      <x:c r="A79" s="16" t="str">
        <x:v>Новосибирская ТЭЦ-5</x:v>
      </x:c>
      <x:c r="B79" s="16" t="str">
        <x:v>2000172223-Y114</x:v>
      </x:c>
      <x:c r="C79" s="16" t="str">
        <x:v>ФЛАНЕЦ СТ20 DN500 PN10 ИСП1 ГОСТ12820-80</x:v>
      </x:c>
      <x:c r="D79" s="16" t="str">
        <x:v>Детали фасонные</x:v>
      </x:c>
      <x:c r="E79" s="16" t="str">
        <x:v>ШТ</x:v>
      </x:c>
      <x:c r="F79" s="21" t="n">
        <x:v>1</x:v>
      </x:c>
      <x:c r="G79" s="17" t="n">
        <x:v>2322.1358</x:v>
      </x:c>
      <x:c r="H79" s="17" t="n">
        <x:f>G79*F79</x:f>
        <x:v>2322.1358</x:v>
      </x:c>
      <x:c r="I79" s="22" t="str">
        <x:f>HYPERLINK("https://etp-aktiv.ru/catalog/materialy/truboprovody/2000172223-Y114/","Открыть позицию")</x:f>
        <x:v>Открыть позицию</x:v>
      </x:c>
    </x:row>
    <x:row r="80" ht="28" customHeight="1">
      <x:c r="A80" s="16" t="str">
        <x:v>Новосибирская ТЭЦ-5</x:v>
      </x:c>
      <x:c r="B80" s="16" t="str">
        <x:v>2000554852-Y114</x:v>
      </x:c>
      <x:c r="C80" s="16" t="str">
        <x:v>ФЛАНЕЦ СТ20 DN80 PN25 01-1-E-IV Г33259</x:v>
      </x:c>
      <x:c r="D80" s="16" t="str">
        <x:v>Детали фасонные</x:v>
      </x:c>
      <x:c r="E80" s="16" t="str">
        <x:v>ШТ</x:v>
      </x:c>
      <x:c r="F80" s="21" t="n">
        <x:v>3</x:v>
      </x:c>
      <x:c r="G80" s="17" t="n">
        <x:v>91.5</x:v>
      </x:c>
      <x:c r="H80" s="17" t="n">
        <x:f>G80*F80</x:f>
        <x:v>274.5</x:v>
      </x:c>
      <x:c r="I80" s="22" t="str">
        <x:f>HYPERLINK("https://etp-aktiv.ru/catalog/materialy/truboprovody/2000554852-Y114/","Открыть позицию")</x:f>
        <x:v>Открыть позицию</x:v>
      </x:c>
    </x:row>
    <x:row r="81" ht="28" customHeight="1">
      <x:c r="A81" s="16" t="str">
        <x:v>Новосибирская ТЭЦ-5</x:v>
      </x:c>
      <x:c r="B81" s="16" t="str">
        <x:v>2000554853-Y114</x:v>
      </x:c>
      <x:c r="C81" s="16" t="str">
        <x:v>ФЛАНЕЦ СТ20 DN80 PN25 01-1-F-IV Г33259</x:v>
      </x:c>
      <x:c r="D81" s="16" t="str">
        <x:v>Детали фасонные</x:v>
      </x:c>
      <x:c r="E81" s="16" t="str">
        <x:v>ШТ</x:v>
      </x:c>
      <x:c r="F81" s="21" t="n">
        <x:v>12</x:v>
      </x:c>
      <x:c r="G81" s="17" t="n">
        <x:v>91.5</x:v>
      </x:c>
      <x:c r="H81" s="17" t="n">
        <x:f>G81*F81</x:f>
        <x:v>1098</x:v>
      </x:c>
      <x:c r="I81" s="22" t="str">
        <x:f>HYPERLINK("https://etp-aktiv.ru/catalog/materialy/truboprovody/2000554853-Y114/","Открыть позицию")</x:f>
        <x:v>Открыть позицию</x:v>
      </x:c>
    </x:row>
    <x:row r="82" ht="28" customHeight="1">
      <x:c r="A82" s="16" t="str">
        <x:v>Новосибирская ТЭЦ-5</x:v>
      </x:c>
      <x:c r="B82" s="16" t="str">
        <x:v>2000527613-Y114</x:v>
      </x:c>
      <x:c r="C82" s="16" t="str">
        <x:v>ШТОК 11.00.09.01 ВОДОПАРОТУШЕНИЯ МЕЛЬНИЦ</x:v>
      </x:c>
      <x:c r="D82" s="16" t="str">
        <x:v>Запасные части к трубопроводной арматуре</x:v>
      </x:c>
      <x:c r="E82" s="16" t="str">
        <x:v>ШТ</x:v>
      </x:c>
      <x:c r="F82" s="21" t="n">
        <x:v>16</x:v>
      </x:c>
      <x:c r="G82" s="17" t="n">
        <x:v>47.58</x:v>
      </x:c>
      <x:c r="H82" s="17" t="n">
        <x:f>G82*F82</x:f>
        <x:v>761.28</x:v>
      </x:c>
      <x:c r="I82" s="22" t="str">
        <x:f>HYPERLINK("https://etp-aktiv.ru/catalog/materialy/truboprovodnaya-armatura-i-komplektuyushchie/2000527613-Y114/","Открыть позицию")</x:f>
        <x:v>Открыть позицию</x:v>
      </x:c>
    </x:row>
    <x:row r="83" ht="28" customHeight="1">
      <x:c r="A83" s="16" t="str">
        <x:v>Новосибирская теплосетевая компания</x:v>
      </x:c>
      <x:c r="B83" s="16" t="str">
        <x:v>2000229171-Y321</x:v>
      </x:c>
      <x:c r="C83" s="16" t="str">
        <x:v>ОТВОД 45° СТ20 DN45 4 ГОСТ17375-01</x:v>
      </x:c>
      <x:c r="D83" s="16" t="str">
        <x:v>Детали фасонные</x:v>
      </x:c>
      <x:c r="E83" s="16" t="str">
        <x:v>ШТ</x:v>
      </x:c>
      <x:c r="F83" s="21" t="n">
        <x:v>1</x:v>
      </x:c>
      <x:c r="G83" s="17" t="n">
        <x:v>107.17699999999999</x:v>
      </x:c>
      <x:c r="H83" s="17" t="n">
        <x:f>G83*F83</x:f>
        <x:v>107.17699999999999</x:v>
      </x:c>
      <x:c r="I83" s="22" t="str">
        <x:f>HYPERLINK("https://etp-aktiv.ru/catalog/materialy/truboprovody/2000229171-Y321/","Открыть позицию")</x:f>
        <x:v>Открыть позицию</x:v>
      </x:c>
    </x:row>
    <x:row r="84" ht="28" customHeight="1">
      <x:c r="A84" s="16" t="str">
        <x:v>Новосибирская теплосетевая компания</x:v>
      </x:c>
      <x:c r="B84" s="16" t="str">
        <x:v>2000681462-Y321</x:v>
      </x:c>
      <x:c r="C84" s="16" t="str">
        <x:v>ОТВОД 60° СТ20 DN133*5 ГОСТ17375-01</x:v>
      </x:c>
      <x:c r="D84" s="16" t="str">
        <x:v>Детали фасонные</x:v>
      </x:c>
      <x:c r="E84" s="16" t="str">
        <x:v>ШТ</x:v>
      </x:c>
      <x:c r="F84" s="21" t="n">
        <x:v>4</x:v>
      </x:c>
      <x:c r="G84" s="17" t="n">
        <x:v>668.9992</x:v>
      </x:c>
      <x:c r="H84" s="17" t="n">
        <x:f>G84*F84</x:f>
        <x:v>2675.9968</x:v>
      </x:c>
      <x:c r="I84" s="22" t="str">
        <x:f>HYPERLINK("https://etp-aktiv.ru/catalog/materialy/truboprovody/2000681462-Y321/","Открыть позицию")</x:f>
        <x:v>Открыть позицию</x:v>
      </x:c>
    </x:row>
    <x:row r="85" ht="28" customHeight="1">
      <x:c r="A85" s="16" t="str">
        <x:v>Новосибирская теплосетевая компания</x:v>
      </x:c>
      <x:c r="B85" s="16" t="str">
        <x:v>2000760018-Y321</x:v>
      </x:c>
      <x:c r="C85" s="16" t="str">
        <x:v>ОТВОД 90° СТ20 26,9*3,2 ГОСТ17375-01</x:v>
      </x:c>
      <x:c r="D85" s="16" t="str">
        <x:v>Детали фасонные</x:v>
      </x:c>
      <x:c r="E85" s="16" t="str">
        <x:v>ШТ</x:v>
      </x:c>
      <x:c r="F85" s="21" t="n">
        <x:v>1</x:v>
      </x:c>
      <x:c r="G85" s="17" t="n">
        <x:v>107.17699999999999</x:v>
      </x:c>
      <x:c r="H85" s="17" t="n">
        <x:f>G85*F85</x:f>
        <x:v>107.17699999999999</x:v>
      </x:c>
      <x:c r="I85" s="22" t="str">
        <x:f>HYPERLINK("https://etp-aktiv.ru/catalog/materialy/truboprovody/2000760018-Y321/","Открыть позицию")</x:f>
        <x:v>Открыть позицию</x:v>
      </x:c>
    </x:row>
    <x:row r="86" ht="28" customHeight="1">
      <x:c r="A86" s="16" t="str">
        <x:v>Новосибирская теплосетевая компания</x:v>
      </x:c>
      <x:c r="B86" s="16" t="str">
        <x:v>2000785225-Y321</x:v>
      </x:c>
      <x:c r="C86" s="16" t="str">
        <x:v>ОТВОД СТ20 219*7-90°-2-ППУ-ПЭ ГОСТ30732</x:v>
      </x:c>
      <x:c r="D86" s="16" t="str">
        <x:v>Трубы и элементы трубопроводов теплоизолиров и футерованных</x:v>
      </x:c>
      <x:c r="E86" s="16" t="str">
        <x:v>ШТ</x:v>
      </x:c>
      <x:c r="F86" s="21" t="n">
        <x:v>2</x:v>
      </x:c>
      <x:c r="G86" s="17" t="n">
        <x:v>7647.606599999999</x:v>
      </x:c>
      <x:c r="H86" s="17" t="n">
        <x:f>G86*F86</x:f>
        <x:v>15295.213199999998</x:v>
      </x:c>
      <x:c r="I86" s="22" t="str">
        <x:f>HYPERLINK("https://etp-aktiv.ru/catalog/materialy/truboprovody/2000785225-Y321/","Открыть позицию")</x:f>
        <x:v>Открыть позицию</x:v>
      </x:c>
    </x:row>
    <x:row r="87" ht="28" customHeight="1">
      <x:c r="A87" s="16" t="str">
        <x:v>Новосибирская теплосетевая компания</x:v>
      </x:c>
      <x:c r="B87" s="16" t="str">
        <x:v>2000917260-Y321</x:v>
      </x:c>
      <x:c r="C87" s="16" t="str">
        <x:v>ОТВОД СТ20 89*4 90° 1-ППУ-ПЭ ГОСТ30732</x:v>
      </x:c>
      <x:c r="D87" s="16" t="str">
        <x:v>Трубы и элементы трубопроводов теплоизолиров и футерованных</x:v>
      </x:c>
      <x:c r="E87" s="16" t="str">
        <x:v>ШТ</x:v>
      </x:c>
      <x:c r="F87" s="21" t="n">
        <x:v>2</x:v>
      </x:c>
      <x:c r="G87" s="17" t="n">
        <x:v>2165.6463999999996</x:v>
      </x:c>
      <x:c r="H87" s="17" t="n">
        <x:f>G87*F87</x:f>
        <x:v>4331.292799999999</x:v>
      </x:c>
      <x:c r="I87" s="22" t="str">
        <x:f>HYPERLINK("https://etp-aktiv.ru/catalog/materialy/truboprovody/2000917260-Y321/","Открыть позицию")</x:f>
        <x:v>Открыть позицию</x:v>
      </x:c>
    </x:row>
    <x:row r="88" ht="28" customHeight="1">
      <x:c r="A88" s="16" t="str">
        <x:v>Новосибирская теплосетевая компания</x:v>
      </x:c>
      <x:c r="B88" s="16" t="str">
        <x:v>2000555007-Y321</x:v>
      </x:c>
      <x:c r="C88" s="16" t="str">
        <x:v>ПЕРЕХОД К СТ20 57*3-45*2,5 ГОСТ17378-01</x:v>
      </x:c>
      <x:c r="D88" s="16" t="str">
        <x:v>Детали фасонные</x:v>
      </x:c>
      <x:c r="E88" s="16" t="str">
        <x:v>ШТ</x:v>
      </x:c>
      <x:c r="F88" s="21" t="n">
        <x:v>2</x:v>
      </x:c>
      <x:c r="G88" s="17" t="n">
        <x:v>364.4628</x:v>
      </x:c>
      <x:c r="H88" s="17" t="n">
        <x:f>G88*F88</x:f>
        <x:v>728.9256</x:v>
      </x:c>
      <x:c r="I88" s="22" t="str">
        <x:f>HYPERLINK("https://etp-aktiv.ru/catalog/materialy/truboprovody/2000555007-Y321/","Открыть позицию")</x:f>
        <x:v>Открыть позицию</x:v>
      </x:c>
    </x:row>
    <x:row r="89" ht="28" customHeight="1">
      <x:c r="A89" s="16" t="str">
        <x:v>Новосибирская теплосетевая компания</x:v>
      </x:c>
      <x:c r="B89" s="16" t="str">
        <x:v>2000555143-Y321</x:v>
      </x:c>
      <x:c r="C89" s="16" t="str">
        <x:v>ТРОЙНИК 09Г2С 1020*18-219*7-2,5 162</x:v>
      </x:c>
      <x:c r="D89" s="16" t="str">
        <x:v>Детали фасонные</x:v>
      </x:c>
      <x:c r="E89" s="16" t="str">
        <x:v>ШТ</x:v>
      </x:c>
      <x:c r="F89" s="21" t="n">
        <x:v>1</x:v>
      </x:c>
      <x:c r="G89" s="17" t="n">
        <x:v>24767.036999999997</x:v>
      </x:c>
      <x:c r="H89" s="17" t="n">
        <x:f>G89*F89</x:f>
        <x:v>24767.036999999997</x:v>
      </x:c>
      <x:c r="I89" s="22" t="str">
        <x:f>HYPERLINK("https://etp-aktiv.ru/catalog/materialy/truboprovody/2000555143-Y321/","Открыть позицию")</x:f>
        <x:v>Открыть позицию</x:v>
      </x:c>
    </x:row>
    <x:row r="90" ht="28" customHeight="1">
      <x:c r="A90" s="16" t="str">
        <x:v>Новосибирская теплосетевая компания</x:v>
      </x:c>
      <x:c r="B90" s="16" t="str">
        <x:v>2000555323-Y321</x:v>
      </x:c>
      <x:c r="C90" s="16" t="str">
        <x:v>ТРОЙНИК П 09Г2С 133*6-89*5 ГОСТ17376-01</x:v>
      </x:c>
      <x:c r="D90" s="16" t="str">
        <x:v>Детали фасонные</x:v>
      </x:c>
      <x:c r="E90" s="16" t="str">
        <x:v>ШТ</x:v>
      </x:c>
      <x:c r="F90" s="21" t="n">
        <x:v>2</x:v>
      </x:c>
      <x:c r="G90" s="17" t="n">
        <x:v>2137.9158</x:v>
      </x:c>
      <x:c r="H90" s="17" t="n">
        <x:f>G90*F90</x:f>
        <x:v>4275.8316</x:v>
      </x:c>
      <x:c r="I90" s="22" t="str">
        <x:f>HYPERLINK("https://etp-aktiv.ru/catalog/materialy/truboprovody/2000555323-Y321/","Открыть позицию")</x:f>
        <x:v>Открыть позицию</x:v>
      </x:c>
    </x:row>
    <x:row r="91" ht="28" customHeight="1">
      <x:c r="A91" s="16" t="str">
        <x:v>Новосибирская теплосетевая компания</x:v>
      </x:c>
      <x:c r="B91" s="16" t="str">
        <x:v>2000649752-Y321</x:v>
      </x:c>
      <x:c r="C91" s="16" t="str">
        <x:v>ТРОЙНИК СТ20 57*4-45*3 ГОСТ17376-2001</x:v>
      </x:c>
      <x:c r="D91" s="16" t="str">
        <x:v>Детали фасонные</x:v>
      </x:c>
      <x:c r="E91" s="16" t="str">
        <x:v>ШТ</x:v>
      </x:c>
      <x:c r="F91" s="21" t="n">
        <x:v>1</x:v>
      </x:c>
      <x:c r="G91" s="17" t="n">
        <x:v>561.0047999999999</x:v>
      </x:c>
      <x:c r="H91" s="17" t="n">
        <x:f>G91*F91</x:f>
        <x:v>561.0047999999999</x:v>
      </x:c>
      <x:c r="I91" s="22" t="str">
        <x:f>HYPERLINK("https://etp-aktiv.ru/catalog/materialy/truboprovody/2000649752-Y321/","Открыть позицию")</x:f>
        <x:v>Открыть позицию</x:v>
      </x:c>
    </x:row>
    <x:row r="92" ht="28" customHeight="1">
      <x:c r="A92" s="16" t="str">
        <x:v>Новосибирская теплосетевая компания</x:v>
      </x:c>
      <x:c r="B92" s="16" t="str">
        <x:v>2000555313-Y321</x:v>
      </x:c>
      <x:c r="C92" s="16" t="str">
        <x:v>ТРОЙНИК СТ20 89*3,5-89 ГОСТ17376-01</x:v>
      </x:c>
      <x:c r="D92" s="16" t="str">
        <x:v>Детали фасонные</x:v>
      </x:c>
      <x:c r="E92" s="16" t="str">
        <x:v>ШТ</x:v>
      </x:c>
      <x:c r="F92" s="21" t="n">
        <x:v>2</x:v>
      </x:c>
      <x:c r="G92" s="17" t="n">
        <x:v>814.9966</x:v>
      </x:c>
      <x:c r="H92" s="17" t="n">
        <x:f>G92*F92</x:f>
        <x:v>1629.9932</x:v>
      </x:c>
      <x:c r="I92" s="22" t="str">
        <x:f>HYPERLINK("https://etp-aktiv.ru/catalog/materialy/truboprovody/2000555313-Y321/","Открыть позицию")</x:f>
        <x:v>Открыть позицию</x:v>
      </x:c>
    </x:row>
    <x:row r="93" ht="28" customHeight="1">
      <x:c r="A93" s="16" t="str">
        <x:v>Новосибирская теплосетевая компания</x:v>
      </x:c>
      <x:c r="B93" s="16" t="str">
        <x:v>2000593704-Y321</x:v>
      </x:c>
      <x:c r="C93" s="16" t="str">
        <x:v>ТРУБКА ТЕРМОУСАЖ ТУТ 4/2 1М ЧЕРНЫЙ</x:v>
      </x:c>
      <x:c r="D93" s="16" t="str">
        <x:v>Электроизоляционные материалы</x:v>
      </x:c>
      <x:c r="E93" s="16" t="str">
        <x:v>М</x:v>
      </x:c>
      <x:c r="F93" s="21" t="n">
        <x:v>7</x:v>
      </x:c>
      <x:c r="G93" s="17" t="n">
        <x:v>347.5414</x:v>
      </x:c>
      <x:c r="H93" s="17" t="n">
        <x:f>G93*F93</x:f>
        <x:v>2432.7898</x:v>
      </x:c>
      <x:c r="I93" s="22" t="str">
        <x:f>HYPERLINK("https://etp-aktiv.ru/catalog/materialy/ehlektroizolyacionnye-materialy/2000593704-Y321/","Открыть позицию")</x:f>
        <x:v>Открыть позицию</x:v>
      </x:c>
    </x:row>
    <x:row r="94" ht="28" customHeight="1">
      <x:c r="A94" s="16" t="str">
        <x:v>Новосибирская теплосетевая компания</x:v>
      </x:c>
      <x:c r="B94" s="16" t="str">
        <x:v>2000533216-Y321</x:v>
      </x:c>
      <x:c r="C94" s="16" t="str">
        <x:v>ТРУБКА ТЕРМОУСАЖИВАЕМ ТУТНГ 28/14 ЧЕРНЫЙ</x:v>
      </x:c>
      <x:c r="D94" s="16" t="str">
        <x:v>Монтажные изделия для кабельной продукции</x:v>
      </x:c>
      <x:c r="E94" s="16" t="str">
        <x:v>М</x:v>
      </x:c>
      <x:c r="F94" s="29" t="n">
        <x:v>0.8</x:v>
      </x:c>
      <x:c r="G94" s="17" t="n">
        <x:v>70.3086</x:v>
      </x:c>
      <x:c r="H94" s="17" t="n">
        <x:f>G94*F94</x:f>
        <x:v>56.246880000000004</x:v>
      </x:c>
      <x:c r="I94" s="22" t="str">
        <x:f>HYPERLINK("https://etp-aktiv.ru/catalog/materialy/ehlektrotekhnicheskie-materialy/2000533216-Y321/","Открыть позицию")</x:f>
        <x:v>Открыть позицию</x:v>
      </x:c>
    </x:row>
    <x:row r="95" ht="28" customHeight="1">
      <x:c r="A95" s="16" t="str">
        <x:v>Новосибирская теплосетевая компания</x:v>
      </x:c>
      <x:c r="B95" s="16" t="str">
        <x:v>2000554783-Y321</x:v>
      </x:c>
      <x:c r="C95" s="16" t="str">
        <x:v>ФЛАНЕЦ 09Г2С DN80 PN1,6 И.1 ГОСТ12820</x:v>
      </x:c>
      <x:c r="D95" s="16" t="str">
        <x:v>Детали фасонные</x:v>
      </x:c>
      <x:c r="E95" s="16" t="str">
        <x:v>ШТ</x:v>
      </x:c>
      <x:c r="F95" s="21" t="n">
        <x:v>2</x:v>
      </x:c>
      <x:c r="G95" s="17" t="n">
        <x:v>316.1752</x:v>
      </x:c>
      <x:c r="H95" s="17" t="n">
        <x:f>G95*F95</x:f>
        <x:v>632.3504</x:v>
      </x:c>
      <x:c r="I95" s="22" t="str">
        <x:f>HYPERLINK("https://etp-aktiv.ru/catalog/materialy/truboprovody/2000554783-Y321/","Открыть позицию")</x:f>
        <x:v>Открыть позицию</x:v>
      </x:c>
    </x:row>
    <x:row r="96" ht="28" customHeight="1">
      <x:c r="A96" s="16" t="str">
        <x:v>Новосибирская теплосетевая компания</x:v>
      </x:c>
      <x:c r="B96" s="16" t="str">
        <x:v>2000581881-Y321</x:v>
      </x:c>
      <x:c r="C96" s="16" t="str">
        <x:v>ФЛАНЕЦ СТ20 125-2,5-2 ГОСТ12821-80</x:v>
      </x:c>
      <x:c r="D96" s="16" t="str">
        <x:v>Детали фасонные</x:v>
      </x:c>
      <x:c r="E96" s="16" t="str">
        <x:v>ШТ</x:v>
      </x:c>
      <x:c r="F96" s="21" t="n">
        <x:v>5</x:v>
      </x:c>
      <x:c r="G96" s="17" t="n">
        <x:v>2843.4783999999995</x:v>
      </x:c>
      <x:c r="H96" s="17" t="n">
        <x:f>G96*F96</x:f>
        <x:v>14217.391999999998</x:v>
      </x:c>
      <x:c r="I96" s="22" t="str">
        <x:f>HYPERLINK("https://etp-aktiv.ru/catalog/materialy/truboprovody/2000581881-Y321/","Открыть позицию")</x:f>
        <x:v>Открыть позицию</x:v>
      </x:c>
    </x:row>
    <x:row r="97" ht="28" customHeight="1">
      <x:c r="A97" s="16" t="str">
        <x:v>Новосибирская теплосетевая компания</x:v>
      </x:c>
      <x:c r="B97" s="16" t="str">
        <x:v>2000554713-Y321</x:v>
      </x:c>
      <x:c r="C97" s="16" t="str">
        <x:v>ФЛАНЕЦ СТ20 DN20 PN1,6 ИСП.1 ГОСТ12821</x:v>
      </x:c>
      <x:c r="D97" s="16" t="str">
        <x:v>Детали фасонные</x:v>
      </x:c>
      <x:c r="E97" s="16" t="str">
        <x:v>ШТ</x:v>
      </x:c>
      <x:c r="F97" s="21" t="n">
        <x:v>4</x:v>
      </x:c>
      <x:c r="G97" s="17" t="n">
        <x:v>234.0448</x:v>
      </x:c>
      <x:c r="H97" s="17" t="n">
        <x:f>G97*F97</x:f>
        <x:v>936.1792</x:v>
      </x:c>
      <x:c r="I97" s="22" t="str">
        <x:f>HYPERLINK("https://etp-aktiv.ru/catalog/materialy/truboprovody/2000554713-Y321/","Открыть позицию")</x:f>
        <x:v>Открыть позицию</x:v>
      </x:c>
    </x:row>
    <x:row r="98" ht="28" customHeight="1">
      <x:c r="A98" s="16" t="str">
        <x:v>Новосибирская теплосетевая компания</x:v>
      </x:c>
      <x:c r="B98" s="16" t="str">
        <x:v>2000747055-Y321</x:v>
      </x:c>
      <x:c r="C98" s="16" t="str">
        <x:v>ШТУЦЕР В 09Г2С 108*3,5 125 4 ТС-592-101</x:v>
      </x:c>
      <x:c r="D98" s="16" t="str">
        <x:v>Детали фасонные</x:v>
      </x:c>
      <x:c r="E98" s="16" t="str">
        <x:v>ШТ</x:v>
      </x:c>
      <x:c r="F98" s="21" t="n">
        <x:v>2</x:v>
      </x:c>
      <x:c r="G98" s="17" t="n">
        <x:v>21.96</x:v>
      </x:c>
      <x:c r="H98" s="17" t="n">
        <x:f>G98*F98</x:f>
        <x:v>43.92</x:v>
      </x:c>
      <x:c r="I98" s="22" t="str">
        <x:f>HYPERLINK("https://etp-aktiv.ru/catalog/materialy/truboprovody/2000747055-Y321/","Открыть позицию")</x:f>
        <x:v>Открыть позицию</x:v>
      </x:c>
    </x:row>
    <x:row r="99" ht="28" customHeight="1">
      <x:c r="A99" s="16" t="str">
        <x:v>Филиал «Тепловые сети»</x:v>
      </x:c>
      <x:c r="B99" s="16" t="str">
        <x:v>2000562566-Y121</x:v>
      </x:c>
      <x:c r="C99" s="16" t="str">
        <x:v>БАЛКА ОПОР 5.903-13 ТС-680.01.000СБ-05</x:v>
      </x:c>
      <x:c r="D99" s="16" t="str">
        <x:v>Система опорно-подвесная</x:v>
      </x:c>
      <x:c r="E99" s="16" t="str">
        <x:v>ШТ</x:v>
      </x:c>
      <x:c r="F99" s="21" t="n">
        <x:v>15</x:v>
      </x:c>
      <x:c r="G99" s="17" t="n">
        <x:v>1903.2</x:v>
      </x:c>
      <x:c r="H99" s="17" t="n">
        <x:f>G99*F99</x:f>
        <x:v>28548</x:v>
      </x:c>
      <x:c r="I99" s="22" t="str">
        <x:f>HYPERLINK("https://etp-aktiv.ru/catalog/materialy/truboprovody/2000562566-Y121/","Открыть позицию")</x:f>
        <x:v>Открыть позицию</x:v>
      </x:c>
    </x:row>
    <x:row r="100" ht="28" customHeight="1">
      <x:c r="A100" s="16" t="str">
        <x:v>Филиал «Тепловые сети»</x:v>
      </x:c>
      <x:c r="B100" s="16" t="str">
        <x:v>2000562492-Y121</x:v>
      </x:c>
      <x:c r="C100" s="16" t="str">
        <x:v>БЛОК 01 ОСТ34-10-729-93</x:v>
      </x:c>
      <x:c r="D100" s="16" t="str">
        <x:v>Система опорно-подвесная</x:v>
      </x:c>
      <x:c r="E100" s="16" t="str">
        <x:v>ШТ</x:v>
      </x:c>
      <x:c r="F100" s="21" t="n">
        <x:v>2</x:v>
      </x:c>
      <x:c r="G100" s="17" t="n">
        <x:v>36.6</x:v>
      </x:c>
      <x:c r="H100" s="17" t="n">
        <x:f>G100*F100</x:f>
        <x:v>73.2</x:v>
      </x:c>
      <x:c r="I100" s="22" t="str">
        <x:f>HYPERLINK("https://etp-aktiv.ru/catalog/materialy/truboprovody/2000562492-Y121/","Открыть позицию")</x:f>
        <x:v>Открыть позицию</x:v>
      </x:c>
    </x:row>
    <x:row r="101" ht="28" customHeight="1">
      <x:c r="A101" s="16" t="str">
        <x:v>Филиал «Тепловые сети»</x:v>
      </x:c>
      <x:c r="B101" s="16" t="str">
        <x:v>2000245442-Y121</x:v>
      </x:c>
      <x:c r="C101" s="16" t="str">
        <x:v>БЛОК ПРУЖИНН ОПОРН 18 ОСТ34.10.745-93СБ</x:v>
      </x:c>
      <x:c r="D101" s="16" t="str">
        <x:v>Система опорно-подвесная</x:v>
      </x:c>
      <x:c r="E101" s="16" t="str">
        <x:v>ШТ</x:v>
      </x:c>
      <x:c r="F101" s="21" t="n">
        <x:v>10</x:v>
      </x:c>
      <x:c r="G101" s="17" t="n">
        <x:v>294.63</x:v>
      </x:c>
      <x:c r="H101" s="17" t="n">
        <x:f>G101*F101</x:f>
        <x:v>2946.3</x:v>
      </x:c>
      <x:c r="I101" s="22" t="str">
        <x:f>HYPERLINK("https://etp-aktiv.ru/catalog/materialy/truboprovody/2000245442-Y121/","Открыть позицию")</x:f>
        <x:v>Открыть позицию</x:v>
      </x:c>
    </x:row>
    <x:row r="102" ht="28" customHeight="1">
      <x:c r="A102" s="16" t="str">
        <x:v>Филиал «Тепловые сети»</x:v>
      </x:c>
      <x:c r="B102" s="16" t="str">
        <x:v>2000553015-Y121</x:v>
      </x:c>
      <x:c r="C102" s="16" t="str">
        <x:v>БЛОК ПРУЖИННЫЙ 04 ОСТ34-10-612-93</x:v>
      </x:c>
      <x:c r="D102" s="16" t="str">
        <x:v>Система опорно-подвесная</x:v>
      </x:c>
      <x:c r="E102" s="16" t="str">
        <x:v>ШТ</x:v>
      </x:c>
      <x:c r="F102" s="21" t="n">
        <x:v>2</x:v>
      </x:c>
      <x:c r="G102" s="17" t="n">
        <x:v>805.1999999999999</x:v>
      </x:c>
      <x:c r="H102" s="17" t="n">
        <x:f>G102*F102</x:f>
        <x:v>1610.3999999999999</x:v>
      </x:c>
      <x:c r="I102" s="22" t="str">
        <x:f>HYPERLINK("https://etp-aktiv.ru/catalog/materialy/truboprovody/2000553015-Y121/","Открыть позицию")</x:f>
        <x:v>Открыть позицию</x:v>
      </x:c>
    </x:row>
    <x:row r="103" ht="28" customHeight="1">
      <x:c r="A103" s="16" t="str">
        <x:v>Филиал «Тепловые сети»</x:v>
      </x:c>
      <x:c r="B103" s="16" t="str">
        <x:v>2000559660-Y121</x:v>
      </x:c>
      <x:c r="C103" s="16" t="str">
        <x:v>ЗАГЛУШКА 57*650 PN16 ГОСТ30732-2006</x:v>
      </x:c>
      <x:c r="D103" s="16" t="str">
        <x:v>Трубы и элементы трубопроводов теплоизолиров и футерованных</x:v>
      </x:c>
      <x:c r="E103" s="16" t="str">
        <x:v>ШТ</x:v>
      </x:c>
      <x:c r="F103" s="21" t="n">
        <x:v>2</x:v>
      </x:c>
      <x:c r="G103" s="17" t="n">
        <x:v>27.45</x:v>
      </x:c>
      <x:c r="H103" s="17" t="n">
        <x:f>G103*F103</x:f>
        <x:v>54.9</x:v>
      </x:c>
      <x:c r="I103" s="22" t="str">
        <x:f>HYPERLINK("https://etp-aktiv.ru/catalog/materialy/truboprovody/2000559660-Y121/","Открыть позицию")</x:f>
        <x:v>Открыть позицию</x:v>
      </x:c>
    </x:row>
    <x:row r="104" ht="28" customHeight="1">
      <x:c r="A104" s="16" t="str">
        <x:v>Филиал «Тепловые сети»</x:v>
      </x:c>
      <x:c r="B104" s="16" t="str">
        <x:v>2000575337-Y121</x:v>
      </x:c>
      <x:c r="C104" s="16" t="str">
        <x:v>ЗАГЛУШКА 76*6 СТ20 ГОСТ17379-2001</x:v>
      </x:c>
      <x:c r="D104" s="16" t="str">
        <x:v>Детали фасонные</x:v>
      </x:c>
      <x:c r="E104" s="16" t="str">
        <x:v>ШТ</x:v>
      </x:c>
      <x:c r="F104" s="21" t="n">
        <x:v>1</x:v>
      </x:c>
      <x:c r="G104" s="17" t="n">
        <x:v>18.3</x:v>
      </x:c>
      <x:c r="H104" s="17" t="n">
        <x:f>G104*F104</x:f>
        <x:v>18.3</x:v>
      </x:c>
      <x:c r="I104" s="22" t="str">
        <x:f>HYPERLINK("https://etp-aktiv.ru/catalog/materialy/truboprovody/2000575337-Y121/","Открыть позицию")</x:f>
        <x:v>Открыть позицию</x:v>
      </x:c>
    </x:row>
    <x:row r="105" ht="28" customHeight="1">
      <x:c r="A105" s="16" t="str">
        <x:v>Филиал «Тепловые сети»</x:v>
      </x:c>
      <x:c r="B105" s="16" t="str">
        <x:v>2000568551-Y121</x:v>
      </x:c>
      <x:c r="C105" s="16" t="str">
        <x:v>ЗАГЛУШКА 76*650 PN16 ГОСТ30732-2006</x:v>
      </x:c>
      <x:c r="D105" s="16" t="str">
        <x:v>Трубы и элементы трубопроводов теплоизолиров и футерованных</x:v>
      </x:c>
      <x:c r="E105" s="16" t="str">
        <x:v>ШТ</x:v>
      </x:c>
      <x:c r="F105" s="21" t="n">
        <x:v>2</x:v>
      </x:c>
      <x:c r="G105" s="17" t="n">
        <x:v>54.9</x:v>
      </x:c>
      <x:c r="H105" s="17" t="n">
        <x:f>G105*F105</x:f>
        <x:v>109.8</x:v>
      </x:c>
      <x:c r="I105" s="22" t="str">
        <x:f>HYPERLINK("https://etp-aktiv.ru/catalog/materialy/truboprovody/2000568551-Y121/","Открыть позицию")</x:f>
        <x:v>Открыть позицию</x:v>
      </x:c>
    </x:row>
    <x:row r="106" ht="28" customHeight="1">
      <x:c r="A106" s="16" t="str">
        <x:v>Филиал «Тепловые сети»</x:v>
      </x:c>
      <x:c r="B106" s="16" t="str">
        <x:v>2000559662-Y121</x:v>
      </x:c>
      <x:c r="C106" s="16" t="str">
        <x:v>ЗАГЛУШКА ГПИ ТЗИ ТИП 40/110 СМИТФЛЕКС-П</x:v>
      </x:c>
      <x:c r="D106" s="16" t="str">
        <x:v>Трубы и элементы трубопроводов теплоизолиров и футерованных</x:v>
      </x:c>
      <x:c r="E106" s="16" t="str">
        <x:v>ШТ</x:v>
      </x:c>
      <x:c r="F106" s="21" t="n">
        <x:v>4</x:v>
      </x:c>
      <x:c r="G106" s="17" t="n">
        <x:v>208.5956</x:v>
      </x:c>
      <x:c r="H106" s="17" t="n">
        <x:f>G106*F106</x:f>
        <x:v>834.3824</x:v>
      </x:c>
      <x:c r="I106" s="22" t="str">
        <x:f>HYPERLINK("https://etp-aktiv.ru/catalog/materialy/truboprovody/2000559662-Y121/","Открыть позицию")</x:f>
        <x:v>Открыть позицию</x:v>
      </x:c>
    </x:row>
    <x:row r="107" ht="28" customHeight="1">
      <x:c r="A107" s="16" t="str">
        <x:v>Филиал «Тепловые сети»</x:v>
      </x:c>
      <x:c r="B107" s="16" t="str">
        <x:v>M2000539716-Y121</x:v>
      </x:c>
      <x:c r="C107" s="16" t="str">
        <x:v>КЛАПАН ОБРАТ 19С15НЖ DN200 PN16</x:v>
      </x:c>
      <x:c r="D107" s="16" t="str">
        <x:v>Обратная арматура</x:v>
      </x:c>
      <x:c r="E107" s="16" t="str">
        <x:v>ШТ</x:v>
      </x:c>
      <x:c r="F107" s="21" t="n">
        <x:v>2</x:v>
      </x:c>
      <x:c r="G107" s="17" t="n">
        <x:v>311.09999999999997</x:v>
      </x:c>
      <x:c r="H107" s="17" t="n">
        <x:f>G107*F107</x:f>
        <x:v>622.1999999999999</x:v>
      </x:c>
      <x:c r="I107" s="22" t="str">
        <x:f>HYPERLINK("https://etp-aktiv.ru/catalog/materialy/truboprovodnaya-armatura-i-komplektuyushchie/M2000539716-Y121/","Открыть позицию")</x:f>
        <x:v>Открыть позицию</x:v>
      </x:c>
    </x:row>
    <x:row r="108" ht="28" customHeight="1">
      <x:c r="A108" s="16" t="str">
        <x:v>Филиал «Тепловые сети»</x:v>
      </x:c>
      <x:c r="B108" s="16" t="str">
        <x:v>M2000571047-Y121</x:v>
      </x:c>
      <x:c r="C108" s="16" t="str">
        <x:v>КОМПЕНСАТОР СКС 400 1,6-150/С±6/ПП</x:v>
      </x:c>
      <x:c r="D108" s="16" t="str">
        <x:v>Компенсаторы</x:v>
      </x:c>
      <x:c r="E108" s="16" t="str">
        <x:v>ШТ</x:v>
      </x:c>
      <x:c r="F108" s="21" t="n">
        <x:v>2</x:v>
      </x:c>
      <x:c r="G108" s="17" t="n">
        <x:v>3843</x:v>
      </x:c>
      <x:c r="H108" s="17" t="n">
        <x:f>G108*F108</x:f>
        <x:v>7686</x:v>
      </x:c>
      <x:c r="I108" s="22" t="str">
        <x:f>HYPERLINK("https://etp-aktiv.ru/catalog/materialy/truboprovody/M2000571047-Y121/","Открыть позицию")</x:f>
        <x:v>Открыть позицию</x:v>
      </x:c>
    </x:row>
    <x:row r="109" ht="28" customHeight="1">
      <x:c r="A109" s="16" t="str">
        <x:v>Филиал «Тепловые сети»</x:v>
      </x:c>
      <x:c r="B109" s="16" t="str">
        <x:v>2000540134-Y121</x:v>
      </x:c>
      <x:c r="C109" s="16" t="str">
        <x:v>КРАН СТ20 ПП ВОДА 200° М 50/40 РП A</x:v>
      </x:c>
      <x:c r="D109" s="16" t="str">
        <x:v>Краны шаровые стальные</x:v>
      </x:c>
      <x:c r="E109" s="16" t="str">
        <x:v>ШТ</x:v>
      </x:c>
      <x:c r="F109" s="21" t="n">
        <x:v>2</x:v>
      </x:c>
      <x:c r="G109" s="17" t="n">
        <x:v>91.5</x:v>
      </x:c>
      <x:c r="H109" s="17" t="n">
        <x:f>G109*F109</x:f>
        <x:v>183</x:v>
      </x:c>
      <x:c r="I109" s="22" t="str">
        <x:f>HYPERLINK("https://etp-aktiv.ru/catalog/materialy/truboprovodnaya-armatura-i-komplektuyushchie/2000540134-Y121/","Открыть позицию")</x:f>
        <x:v>Открыть позицию</x:v>
      </x:c>
    </x:row>
    <x:row r="110" ht="28" customHeight="1">
      <x:c r="A110" s="16" t="str">
        <x:v>Филиал «Тепловые сети»</x:v>
      </x:c>
      <x:c r="B110" s="16" t="str">
        <x:v>2000503072-Y121</x:v>
      </x:c>
      <x:c r="C110" s="16" t="str">
        <x:v>ОПОРА 530-17 ОСТ34-10-622</x:v>
      </x:c>
      <x:c r="D110" s="16" t="str">
        <x:v>Система опорно-подвесная</x:v>
      </x:c>
      <x:c r="E110" s="16" t="str">
        <x:v>ШТ</x:v>
      </x:c>
      <x:c r="F110" s="21" t="n">
        <x:v>5</x:v>
      </x:c>
      <x:c r="G110" s="17" t="n">
        <x:v>713.6999999999999</x:v>
      </x:c>
      <x:c r="H110" s="17" t="n">
        <x:f>G110*F110</x:f>
        <x:v>3568.4999999999995</x:v>
      </x:c>
      <x:c r="I110" s="22" t="str">
        <x:f>HYPERLINK("https://etp-aktiv.ru/catalog/materialy/truboprovody/2000503072-Y121/","Открыть позицию")</x:f>
        <x:v>Открыть позицию</x:v>
      </x:c>
    </x:row>
    <x:row r="111" ht="28" customHeight="1">
      <x:c r="A111" s="16" t="str">
        <x:v>Филиал «Тепловые сети»</x:v>
      </x:c>
      <x:c r="B111" s="16" t="str">
        <x:v>2000553149-Y121</x:v>
      </x:c>
      <x:c r="C111" s="16" t="str">
        <x:v>ОПОРА DY50 А14Б 579.000 С.5.900-7 В.4</x:v>
      </x:c>
      <x:c r="D111" s="16" t="str">
        <x:v>Система опорно-подвесная</x:v>
      </x:c>
      <x:c r="E111" s="16" t="str">
        <x:v>ШТ</x:v>
      </x:c>
      <x:c r="F111" s="21" t="n">
        <x:v>1</x:v>
      </x:c>
      <x:c r="G111" s="17" t="n">
        <x:v>21.96</x:v>
      </x:c>
      <x:c r="H111" s="17" t="n">
        <x:f>G111*F111</x:f>
        <x:v>21.96</x:v>
      </x:c>
      <x:c r="I111" s="22" t="str">
        <x:f>HYPERLINK("https://etp-aktiv.ru/catalog/materialy/truboprovody/2000553149-Y121/","Открыть позицию")</x:f>
        <x:v>Открыть позицию</x:v>
      </x:c>
    </x:row>
    <x:row r="112" ht="28" customHeight="1">
      <x:c r="A112" s="16" t="str">
        <x:v>Филиал «Тепловые сети»</x:v>
      </x:c>
      <x:c r="B112" s="16" t="str">
        <x:v>2000553150-Y121</x:v>
      </x:c>
      <x:c r="C112" s="16" t="str">
        <x:v>ОПОРА DY65 А14Б 566.000-01 С.5.900-7 В.4</x:v>
      </x:c>
      <x:c r="D112" s="16" t="str">
        <x:v>Система опорно-подвесная</x:v>
      </x:c>
      <x:c r="E112" s="16" t="str">
        <x:v>ШТ</x:v>
      </x:c>
      <x:c r="F112" s="21" t="n">
        <x:v>4</x:v>
      </x:c>
      <x:c r="G112" s="17" t="n">
        <x:v>25.62</x:v>
      </x:c>
      <x:c r="H112" s="17" t="n">
        <x:f>G112*F112</x:f>
        <x:v>102.48</x:v>
      </x:c>
      <x:c r="I112" s="22" t="str">
        <x:f>HYPERLINK("https://etp-aktiv.ru/catalog/materialy/truboprovody/2000553150-Y121/","Открыть позицию")</x:f>
        <x:v>Открыть позицию</x:v>
      </x:c>
    </x:row>
    <x:row r="113" ht="28" customHeight="1">
      <x:c r="A113" s="16" t="str">
        <x:v>Филиал «Тепловые сети»</x:v>
      </x:c>
      <x:c r="B113" s="16" t="str">
        <x:v>2000553257-Y121</x:v>
      </x:c>
      <x:c r="C113" s="16" t="str">
        <x:v>ОПОРА ПОДВ А14Б.580.00-01 DУ65 5.900-7</x:v>
      </x:c>
      <x:c r="D113" s="16" t="str">
        <x:v>Система опорно-подвесная</x:v>
      </x:c>
      <x:c r="E113" s="16" t="str">
        <x:v>ШТ</x:v>
      </x:c>
      <x:c r="F113" s="21" t="n">
        <x:v>13</x:v>
      </x:c>
      <x:c r="G113" s="17" t="n">
        <x:v>25.62</x:v>
      </x:c>
      <x:c r="H113" s="17" t="n">
        <x:f>G113*F113</x:f>
        <x:v>333.06</x:v>
      </x:c>
      <x:c r="I113" s="22" t="str">
        <x:f>HYPERLINK("https://etp-aktiv.ru/catalog/materialy/truboprovody/2000553257-Y121/","Открыть позицию")</x:f>
        <x:v>Открыть позицию</x:v>
      </x:c>
    </x:row>
    <x:row r="114" ht="28" customHeight="1">
      <x:c r="A114" s="16" t="str">
        <x:v>Филиал «Тепловые сети»</x:v>
      </x:c>
      <x:c r="B114" s="16" t="str">
        <x:v>2000553258-Y121</x:v>
      </x:c>
      <x:c r="C114" s="16" t="str">
        <x:v>ОПОРА ПОДВ А14Б580.000-04 DУ125 09Г2С</x:v>
      </x:c>
      <x:c r="D114" s="16" t="str">
        <x:v>Система опорно-подвесная</x:v>
      </x:c>
      <x:c r="E114" s="16" t="str">
        <x:v>ШТ</x:v>
      </x:c>
      <x:c r="F114" s="21" t="n">
        <x:v>2</x:v>
      </x:c>
      <x:c r="G114" s="17" t="n">
        <x:v>36.6</x:v>
      </x:c>
      <x:c r="H114" s="17" t="n">
        <x:f>G114*F114</x:f>
        <x:v>73.2</x:v>
      </x:c>
      <x:c r="I114" s="22" t="str">
        <x:f>HYPERLINK("https://etp-aktiv.ru/catalog/materialy/truboprovody/2000553258-Y121/","Открыть позицию")</x:f>
        <x:v>Открыть позицию</x:v>
      </x:c>
    </x:row>
    <x:row r="115" ht="28" customHeight="1">
      <x:c r="A115" s="16" t="str">
        <x:v>Филиал «Тепловые сети»</x:v>
      </x:c>
      <x:c r="B115" s="16" t="str">
        <x:v>2000554314-Y121</x:v>
      </x:c>
      <x:c r="C115" s="16" t="str">
        <x:v>ОТВОД 45° СТ20 DN133*9 ГОСТ17375-01</x:v>
      </x:c>
      <x:c r="D115" s="16" t="str">
        <x:v>Детали фасонные</x:v>
      </x:c>
      <x:c r="E115" s="16" t="str">
        <x:v>ШТ</x:v>
      </x:c>
      <x:c r="F115" s="21" t="n">
        <x:v>1</x:v>
      </x:c>
      <x:c r="G115" s="17" t="n">
        <x:v>75.03</x:v>
      </x:c>
      <x:c r="H115" s="17" t="n">
        <x:f>G115*F115</x:f>
        <x:v>75.03</x:v>
      </x:c>
      <x:c r="I115" s="22" t="str">
        <x:f>HYPERLINK("https://etp-aktiv.ru/catalog/materialy/truboprovody/2000554314-Y121/","Открыть позицию")</x:f>
        <x:v>Открыть позицию</x:v>
      </x:c>
    </x:row>
    <x:row r="116" ht="28" customHeight="1">
      <x:c r="A116" s="16" t="str">
        <x:v>Филиал «Тепловые сети»</x:v>
      </x:c>
      <x:c r="B116" s="16" t="str">
        <x:v>2000554549-Y121</x:v>
      </x:c>
      <x:c r="C116" s="16" t="str">
        <x:v>ОТВОД 90 СТ20 ОЦ DN60,3*4 ИСП1 ГОСТ17375</x:v>
      </x:c>
      <x:c r="D116" s="16" t="str">
        <x:v>Детали фасонные</x:v>
      </x:c>
      <x:c r="E116" s="16" t="str">
        <x:v>ШТ</x:v>
      </x:c>
      <x:c r="F116" s="21" t="n">
        <x:v>2</x:v>
      </x:c>
      <x:c r="G116" s="17" t="n">
        <x:v>10.98</x:v>
      </x:c>
      <x:c r="H116" s="17" t="n">
        <x:f>G116*F116</x:f>
        <x:v>21.96</x:v>
      </x:c>
      <x:c r="I116" s="22" t="str">
        <x:f>HYPERLINK("https://etp-aktiv.ru/catalog/materialy/truboprovody/2000554549-Y121/","Открыть позицию")</x:f>
        <x:v>Открыть позицию</x:v>
      </x:c>
    </x:row>
    <x:row r="117" ht="28" customHeight="1">
      <x:c r="A117" s="16" t="str">
        <x:v>Филиал «Тепловые сети»</x:v>
      </x:c>
      <x:c r="B117" s="16" t="str">
        <x:v>M2000568179-Y121</x:v>
      </x:c>
      <x:c r="C117" s="16" t="str">
        <x:v>ОТВОД 90° В-10Г2 377*10 ТС 582-10</x:v>
      </x:c>
      <x:c r="D117" s="16" t="str">
        <x:v>Детали фасонные</x:v>
      </x:c>
      <x:c r="E117" s="16" t="str">
        <x:v>ШТ</x:v>
      </x:c>
      <x:c r="F117" s="21" t="n">
        <x:v>4</x:v>
      </x:c>
      <x:c r="G117" s="17" t="n">
        <x:v>1372.5</x:v>
      </x:c>
      <x:c r="H117" s="17" t="n">
        <x:f>G117*F117</x:f>
        <x:v>5490</x:v>
      </x:c>
      <x:c r="I117" s="22" t="str">
        <x:f>HYPERLINK("https://etp-aktiv.ru/catalog/materialy/truboprovody/M2000568179-Y121/","Открыть позицию")</x:f>
        <x:v>Открыть позицию</x:v>
      </x:c>
    </x:row>
    <x:row r="118" ht="28" customHeight="1">
      <x:c r="A118" s="16" t="str">
        <x:v>Филиал «Тепловые сети»</x:v>
      </x:c>
      <x:c r="B118" s="16" t="str">
        <x:v>2000554553-Y121</x:v>
      </x:c>
      <x:c r="C118" s="16" t="str">
        <x:v>ОТВОД П 30° СТ20 DN133*4 ГОСТ17375-01</x:v>
      </x:c>
      <x:c r="D118" s="16" t="str">
        <x:v>Детали фасонные</x:v>
      </x:c>
      <x:c r="E118" s="16" t="str">
        <x:v>ШТ</x:v>
      </x:c>
      <x:c r="F118" s="21" t="n">
        <x:v>2</x:v>
      </x:c>
      <x:c r="G118" s="17" t="n">
        <x:v>22.875</x:v>
      </x:c>
      <x:c r="H118" s="17" t="n">
        <x:f>G118*F118</x:f>
        <x:v>45.75</x:v>
      </x:c>
      <x:c r="I118" s="22" t="str">
        <x:f>HYPERLINK("https://etp-aktiv.ru/catalog/materialy/truboprovody/2000554553-Y121/","Открыть позицию")</x:f>
        <x:v>Открыть позицию</x:v>
      </x:c>
    </x:row>
    <x:row r="119" ht="28" customHeight="1">
      <x:c r="A119" s="16" t="str">
        <x:v>Филиал «Тепловые сети»</x:v>
      </x:c>
      <x:c r="B119" s="16" t="str">
        <x:v>2000559556-Y121</x:v>
      </x:c>
      <x:c r="C119" s="16" t="str">
        <x:v>ОТВОД СТ20 45*3,5 90° 1-ППУ-ПЭ ГОСТ30732</x:v>
      </x:c>
      <x:c r="D119" s="16" t="str">
        <x:v>Трубы и элементы трубопроводов теплоизолиров и футерованных</x:v>
      </x:c>
      <x:c r="E119" s="16" t="str">
        <x:v>ШТ</x:v>
      </x:c>
      <x:c r="F119" s="21" t="n">
        <x:v>14</x:v>
      </x:c>
      <x:c r="G119" s="17" t="n">
        <x:v>128.1</x:v>
      </x:c>
      <x:c r="H119" s="17" t="n">
        <x:f>G119*F119</x:f>
        <x:v>1793.3999999999999</x:v>
      </x:c>
      <x:c r="I119" s="22" t="str">
        <x:f>HYPERLINK("https://etp-aktiv.ru/catalog/materialy/truboprovody/2000559556-Y121/","Открыть позицию")</x:f>
        <x:v>Открыть позицию</x:v>
      </x:c>
    </x:row>
    <x:row r="120" ht="28" customHeight="1">
      <x:c r="A120" s="16" t="str">
        <x:v>Филиал «Тепловые сети»</x:v>
      </x:c>
      <x:c r="B120" s="16" t="str">
        <x:v>2000554972-Y121</x:v>
      </x:c>
      <x:c r="C120" s="16" t="str">
        <x:v>ПЕРЕХОД К 09Г2С 38*2-32*2 ГОСТ17378-01</x:v>
      </x:c>
      <x:c r="D120" s="16" t="str">
        <x:v>Детали фасонные</x:v>
      </x:c>
      <x:c r="E120" s="16" t="str">
        <x:v>ШТ</x:v>
      </x:c>
      <x:c r="F120" s="21" t="n">
        <x:v>1</x:v>
      </x:c>
      <x:c r="G120" s="17" t="n">
        <x:v>9.15</x:v>
      </x:c>
      <x:c r="H120" s="17" t="n">
        <x:f>G120*F120</x:f>
        <x:v>9.15</x:v>
      </x:c>
      <x:c r="I120" s="22" t="str">
        <x:f>HYPERLINK("https://etp-aktiv.ru/catalog/materialy/truboprovody/2000554972-Y121/","Открыть позицию")</x:f>
        <x:v>Открыть позицию</x:v>
      </x:c>
    </x:row>
    <x:row r="121" ht="28" customHeight="1">
      <x:c r="A121" s="16" t="str">
        <x:v>Филиал «Тепловые сети»</x:v>
      </x:c>
      <x:c r="B121" s="16" t="str">
        <x:v>2000444678-Y121</x:v>
      </x:c>
      <x:c r="C121" s="16" t="str">
        <x:v>ПЕРЕХОД К 09Г2С 57*5 38 4 ГОСТ17378-01</x:v>
      </x:c>
      <x:c r="D121" s="16" t="str">
        <x:v>Детали фасонные</x:v>
      </x:c>
      <x:c r="E121" s="16" t="str">
        <x:v>ШТ</x:v>
      </x:c>
      <x:c r="F121" s="21" t="n">
        <x:v>4</x:v>
      </x:c>
      <x:c r="G121" s="17" t="n">
        <x:v>9.15</x:v>
      </x:c>
      <x:c r="H121" s="17" t="n">
        <x:f>G121*F121</x:f>
        <x:v>36.6</x:v>
      </x:c>
      <x:c r="I121" s="22" t="str">
        <x:f>HYPERLINK("https://etp-aktiv.ru/catalog/materialy/truboprovody/2000444678-Y121/","Открыть позицию")</x:f>
        <x:v>Открыть позицию</x:v>
      </x:c>
    </x:row>
    <x:row r="122" ht="28" customHeight="1">
      <x:c r="A122" s="16" t="str">
        <x:v>Филиал «Тепловые сети»</x:v>
      </x:c>
      <x:c r="B122" s="16" t="str">
        <x:v>2000554974-Y121</x:v>
      </x:c>
      <x:c r="C122" s="16" t="str">
        <x:v>ПЕРЕХОД К СТ20 38*3-32*3 ГОСТ17378-01</x:v>
      </x:c>
      <x:c r="D122" s="16" t="str">
        <x:v>Детали фасонные</x:v>
      </x:c>
      <x:c r="E122" s="16" t="str">
        <x:v>ШТ</x:v>
      </x:c>
      <x:c r="F122" s="21" t="n">
        <x:v>2</x:v>
      </x:c>
      <x:c r="G122" s="17" t="n">
        <x:v>9.15</x:v>
      </x:c>
      <x:c r="H122" s="17" t="n">
        <x:f>G122*F122</x:f>
        <x:v>18.3</x:v>
      </x:c>
      <x:c r="I122" s="22" t="str">
        <x:f>HYPERLINK("https://etp-aktiv.ru/catalog/materialy/truboprovody/2000554974-Y121/","Открыть позицию")</x:f>
        <x:v>Открыть позицию</x:v>
      </x:c>
    </x:row>
    <x:row r="123" ht="28" customHeight="1">
      <x:c r="A123" s="16" t="str">
        <x:v>Филиал «Тепловые сети»</x:v>
      </x:c>
      <x:c r="B123" s="16" t="str">
        <x:v>2000568261-Y121</x:v>
      </x:c>
      <x:c r="C123" s="16" t="str">
        <x:v>ПЕРЕХОД К СТ20 42,4*3,6-21,3*3,2 ИСП.1</x:v>
      </x:c>
      <x:c r="D123" s="16" t="str">
        <x:v>Детали фасонные</x:v>
      </x:c>
      <x:c r="E123" s="16" t="str">
        <x:v>ШТ</x:v>
      </x:c>
      <x:c r="F123" s="21" t="n">
        <x:v>2</x:v>
      </x:c>
      <x:c r="G123" s="17" t="n">
        <x:v>9.15</x:v>
      </x:c>
      <x:c r="H123" s="17" t="n">
        <x:f>G123*F123</x:f>
        <x:v>18.3</x:v>
      </x:c>
      <x:c r="I123" s="22" t="str">
        <x:f>HYPERLINK("https://etp-aktiv.ru/catalog/materialy/truboprovody/2000568261-Y121/","Открыть позицию")</x:f>
        <x:v>Открыть позицию</x:v>
      </x:c>
    </x:row>
    <x:row r="124" ht="28" customHeight="1">
      <x:c r="A124" s="16" t="str">
        <x:v>Филиал «Тепловые сети»</x:v>
      </x:c>
      <x:c r="B124" s="16" t="str">
        <x:v>2000554989-Y121</x:v>
      </x:c>
      <x:c r="C124" s="16" t="str">
        <x:v>ПЕРЕХОД К СТ20 45*4-32*4 ГОСТ17378-01</x:v>
      </x:c>
      <x:c r="D124" s="16" t="str">
        <x:v>Детали фасонные</x:v>
      </x:c>
      <x:c r="E124" s="16" t="str">
        <x:v>ШТ</x:v>
      </x:c>
      <x:c r="F124" s="21" t="n">
        <x:v>18</x:v>
      </x:c>
      <x:c r="G124" s="17" t="n">
        <x:v>10.98</x:v>
      </x:c>
      <x:c r="H124" s="17" t="n">
        <x:f>G124*F124</x:f>
        <x:v>197.64000000000001</x:v>
      </x:c>
      <x:c r="I124" s="22" t="str">
        <x:f>HYPERLINK("https://etp-aktiv.ru/catalog/materialy/truboprovody/2000554989-Y121/","Открыть позицию")</x:f>
        <x:v>Открыть позицию</x:v>
      </x:c>
    </x:row>
    <x:row r="125" ht="28" customHeight="1">
      <x:c r="A125" s="16" t="str">
        <x:v>Филиал «Тепловые сети»</x:v>
      </x:c>
      <x:c r="B125" s="16" t="str">
        <x:v>2000220424-Y121</x:v>
      </x:c>
      <x:c r="C125" s="16" t="str">
        <x:v>ПЕРЕХОД К СТ20 57*3 38 2 ГОСТ17378-01</x:v>
      </x:c>
      <x:c r="D125" s="16" t="str">
        <x:v>Детали фасонные</x:v>
      </x:c>
      <x:c r="E125" s="16" t="str">
        <x:v>ШТ</x:v>
      </x:c>
      <x:c r="F125" s="21" t="n">
        <x:v>319</x:v>
      </x:c>
      <x:c r="G125" s="17" t="n">
        <x:v>1.83</x:v>
      </x:c>
      <x:c r="H125" s="17" t="n">
        <x:f>G125*F125</x:f>
        <x:v>583.77</x:v>
      </x:c>
      <x:c r="I125" s="22" t="str">
        <x:f>HYPERLINK("https://etp-aktiv.ru/catalog/materialy/truboprovody/2000220424-Y121/","Открыть позицию")</x:f>
        <x:v>Открыть позицию</x:v>
      </x:c>
    </x:row>
    <x:row r="126" ht="28" customHeight="1">
      <x:c r="A126" s="16" t="str">
        <x:v>Филиал «Тепловые сети»</x:v>
      </x:c>
      <x:c r="B126" s="16" t="str">
        <x:v>2000555002-Y121</x:v>
      </x:c>
      <x:c r="C126" s="16" t="str">
        <x:v>ПЕРЕХОД К СТ20 57*3,5-32*3,5 ГОСТ17378</x:v>
      </x:c>
      <x:c r="D126" s="16" t="str">
        <x:v>Детали фасонные</x:v>
      </x:c>
      <x:c r="E126" s="16" t="str">
        <x:v>ШТ</x:v>
      </x:c>
      <x:c r="F126" s="21" t="n">
        <x:v>47</x:v>
      </x:c>
      <x:c r="G126" s="17" t="n">
        <x:v>12.81</x:v>
      </x:c>
      <x:c r="H126" s="17" t="n">
        <x:f>G126*F126</x:f>
        <x:v>602.07</x:v>
      </x:c>
      <x:c r="I126" s="22" t="str">
        <x:f>HYPERLINK("https://etp-aktiv.ru/catalog/materialy/truboprovody/2000555002-Y121/","Открыть позицию")</x:f>
        <x:v>Открыть позицию</x:v>
      </x:c>
    </x:row>
    <x:row r="127" ht="28" customHeight="1">
      <x:c r="A127" s="16" t="str">
        <x:v>Филиал «Тепловые сети»</x:v>
      </x:c>
      <x:c r="B127" s="16" t="str">
        <x:v>2000575331-Y121</x:v>
      </x:c>
      <x:c r="C127" s="16" t="str">
        <x:v>ПЕРЕХОД К СТ20 57*5-25 3 ГОСТ17378-2001</x:v>
      </x:c>
      <x:c r="D127" s="16" t="str">
        <x:v>Детали фасонные</x:v>
      </x:c>
      <x:c r="E127" s="16" t="str">
        <x:v>ШТ</x:v>
      </x:c>
      <x:c r="F127" s="21" t="n">
        <x:v>4</x:v>
      </x:c>
      <x:c r="G127" s="17" t="n">
        <x:v>10.98</x:v>
      </x:c>
      <x:c r="H127" s="17" t="n">
        <x:f>G127*F127</x:f>
        <x:v>43.92</x:v>
      </x:c>
      <x:c r="I127" s="22" t="str">
        <x:f>HYPERLINK("https://etp-aktiv.ru/catalog/materialy/truboprovody/2000575331-Y121/","Открыть позицию")</x:f>
        <x:v>Открыть позицию</x:v>
      </x:c>
    </x:row>
    <x:row r="128" ht="28" customHeight="1">
      <x:c r="A128" s="16" t="str">
        <x:v>Филиал «Тепловые сети»</x:v>
      </x:c>
      <x:c r="B128" s="16" t="str">
        <x:v>2000575328-Y121</x:v>
      </x:c>
      <x:c r="C128" s="16" t="str">
        <x:v>ПЕРЕХОД К СТ20 76*3-57 3 ГОСТ17378-2001</x:v>
      </x:c>
      <x:c r="D128" s="16" t="str">
        <x:v>Детали фасонные</x:v>
      </x:c>
      <x:c r="E128" s="16" t="str">
        <x:v>ШТ</x:v>
      </x:c>
      <x:c r="F128" s="21" t="n">
        <x:v>4</x:v>
      </x:c>
      <x:c r="G128" s="17" t="n">
        <x:v>14.64</x:v>
      </x:c>
      <x:c r="H128" s="17" t="n">
        <x:f>G128*F128</x:f>
        <x:v>58.56</x:v>
      </x:c>
      <x:c r="I128" s="22" t="str">
        <x:f>HYPERLINK("https://etp-aktiv.ru/catalog/materialy/truboprovody/2000575328-Y121/","Открыть позицию")</x:f>
        <x:v>Открыть позицию</x:v>
      </x:c>
    </x:row>
    <x:row r="129" ht="28" customHeight="1">
      <x:c r="A129" s="16" t="str">
        <x:v>Филиал «Тепловые сети»</x:v>
      </x:c>
      <x:c r="B129" s="16" t="str">
        <x:v>2000234418-Y121</x:v>
      </x:c>
      <x:c r="C129" s="16" t="str">
        <x:v>ПЕРЕХОД К СТ20 89*3,5 45 2,5 ГОСТ17378-0</x:v>
      </x:c>
      <x:c r="D129" s="16" t="str">
        <x:v>Детали фасонные</x:v>
      </x:c>
      <x:c r="E129" s="16" t="str">
        <x:v>ШТ</x:v>
      </x:c>
      <x:c r="F129" s="21" t="n">
        <x:v>3</x:v>
      </x:c>
      <x:c r="G129" s="17" t="n">
        <x:v>18.3</x:v>
      </x:c>
      <x:c r="H129" s="17" t="n">
        <x:f>G129*F129</x:f>
        <x:v>54.900000000000006</x:v>
      </x:c>
      <x:c r="I129" s="22" t="str">
        <x:f>HYPERLINK("https://etp-aktiv.ru/catalog/materialy/truboprovody/2000234418-Y121/","Открыть позицию")</x:f>
        <x:v>Открыть позицию</x:v>
      </x:c>
    </x:row>
    <x:row r="130" ht="28" customHeight="1">
      <x:c r="A130" s="16" t="str">
        <x:v>Филиал «Тепловые сети»</x:v>
      </x:c>
      <x:c r="B130" s="16" t="str">
        <x:v>2000555040-Y121</x:v>
      </x:c>
      <x:c r="C130" s="16" t="str">
        <x:v>ПЕРЕХОД К СТ20 89*3,5-57*3 ГОСТ17378-01</x:v>
      </x:c>
      <x:c r="D130" s="16" t="str">
        <x:v>Детали фасонные</x:v>
      </x:c>
      <x:c r="E130" s="16" t="str">
        <x:v>ШТ</x:v>
      </x:c>
      <x:c r="F130" s="21" t="n">
        <x:v>241</x:v>
      </x:c>
      <x:c r="G130" s="17" t="n">
        <x:v>16.47</x:v>
      </x:c>
      <x:c r="H130" s="17" t="n">
        <x:f>G130*F130</x:f>
        <x:v>3969.2699999999995</x:v>
      </x:c>
      <x:c r="I130" s="22" t="str">
        <x:f>HYPERLINK("https://etp-aktiv.ru/catalog/materialy/truboprovody/2000555040-Y121/","Открыть позицию")</x:f>
        <x:v>Открыть позицию</x:v>
      </x:c>
    </x:row>
    <x:row r="131" ht="28" customHeight="1">
      <x:c r="A131" s="16" t="str">
        <x:v>Филиал «Тепловые сети»</x:v>
      </x:c>
      <x:c r="B131" s="16" t="str">
        <x:v>2000555014-Y121</x:v>
      </x:c>
      <x:c r="C131" s="16" t="str">
        <x:v>ПЕРЕХОД К СТ20 ОЦ 57*5-45*4 ГОСТ17378-01</x:v>
      </x:c>
      <x:c r="D131" s="16" t="str">
        <x:v>Детали фасонные</x:v>
      </x:c>
      <x:c r="E131" s="16" t="str">
        <x:v>ШТ</x:v>
      </x:c>
      <x:c r="F131" s="21" t="n">
        <x:v>4</x:v>
      </x:c>
      <x:c r="G131" s="17" t="n">
        <x:v>12.81</x:v>
      </x:c>
      <x:c r="H131" s="17" t="n">
        <x:f>G131*F131</x:f>
        <x:v>51.24</x:v>
      </x:c>
      <x:c r="I131" s="22" t="str">
        <x:f>HYPERLINK("https://etp-aktiv.ru/catalog/materialy/truboprovody/2000555014-Y121/","Открыть позицию")</x:f>
        <x:v>Открыть позицию</x:v>
      </x:c>
    </x:row>
    <x:row r="132" ht="28" customHeight="1">
      <x:c r="A132" s="16" t="str">
        <x:v>Филиал «Тепловые сети»</x:v>
      </x:c>
      <x:c r="B132" s="16" t="str">
        <x:v>2000568246-Y121</x:v>
      </x:c>
      <x:c r="C132" s="16" t="str">
        <x:v>ПЕРЕХОД К СТ20 ОЦ 88,9*8-48,3*5 ИСП.1</x:v>
      </x:c>
      <x:c r="D132" s="16" t="str">
        <x:v>Детали фасонные</x:v>
      </x:c>
      <x:c r="E132" s="16" t="str">
        <x:v>ШТ</x:v>
      </x:c>
      <x:c r="F132" s="21" t="n">
        <x:v>1</x:v>
      </x:c>
      <x:c r="G132" s="17" t="n">
        <x:v>18.3</x:v>
      </x:c>
      <x:c r="H132" s="17" t="n">
        <x:f>G132*F132</x:f>
        <x:v>18.3</x:v>
      </x:c>
      <x:c r="I132" s="22" t="str">
        <x:f>HYPERLINK("https://etp-aktiv.ru/catalog/materialy/truboprovody/2000568246-Y121/","Открыть позицию")</x:f>
        <x:v>Открыть позицию</x:v>
      </x:c>
    </x:row>
    <x:row r="133" ht="28" customHeight="1">
      <x:c r="A133" s="16" t="str">
        <x:v>Филиал «Тепловые сети»</x:v>
      </x:c>
      <x:c r="B133" s="16" t="str">
        <x:v>2000555096-Y121</x:v>
      </x:c>
      <x:c r="C133" s="16" t="str">
        <x:v>ПЕРЕХОД ПК 09Г2С 76*6-57*5 ГОСТ17378</x:v>
      </x:c>
      <x:c r="D133" s="16" t="str">
        <x:v>Детали фасонные</x:v>
      </x:c>
      <x:c r="E133" s="16" t="str">
        <x:v>ШТ</x:v>
      </x:c>
      <x:c r="F133" s="21" t="n">
        <x:v>4</x:v>
      </x:c>
      <x:c r="G133" s="17" t="n">
        <x:v>14.64</x:v>
      </x:c>
      <x:c r="H133" s="17" t="n">
        <x:f>G133*F133</x:f>
        <x:v>58.56</x:v>
      </x:c>
      <x:c r="I133" s="22" t="str">
        <x:f>HYPERLINK("https://etp-aktiv.ru/catalog/materialy/truboprovody/2000555096-Y121/","Открыть позицию")</x:f>
        <x:v>Открыть позицию</x:v>
      </x:c>
    </x:row>
    <x:row r="134" ht="28" customHeight="1">
      <x:c r="A134" s="16" t="str">
        <x:v>Филиал «Тепловые сети»</x:v>
      </x:c>
      <x:c r="B134" s="16" t="str">
        <x:v>2000591346-Y121</x:v>
      </x:c>
      <x:c r="C134" s="16" t="str">
        <x:v>ПЕРЕХОД ПК 45*4-25*3 СТ20 ГОСТ17378</x:v>
      </x:c>
      <x:c r="D134" s="16" t="str">
        <x:v>Детали фасонные</x:v>
      </x:c>
      <x:c r="E134" s="16" t="str">
        <x:v>ШТ</x:v>
      </x:c>
      <x:c r="F134" s="21" t="n">
        <x:v>2</x:v>
      </x:c>
      <x:c r="G134" s="17" t="n">
        <x:v>9.15</x:v>
      </x:c>
      <x:c r="H134" s="17" t="n">
        <x:f>G134*F134</x:f>
        <x:v>18.3</x:v>
      </x:c>
      <x:c r="I134" s="22" t="str">
        <x:f>HYPERLINK("https://etp-aktiv.ru/catalog/materialy/truboprovody/2000591346-Y121/","Открыть позицию")</x:f>
        <x:v>Открыть позицию</x:v>
      </x:c>
    </x:row>
    <x:row r="135" ht="28" customHeight="1">
      <x:c r="A135" s="16" t="str">
        <x:v>Филиал «Тепловые сети»</x:v>
      </x:c>
      <x:c r="B135" s="16" t="str">
        <x:v>2000555066-Y121</x:v>
      </x:c>
      <x:c r="C135" s="16" t="str">
        <x:v>ПЕРЕХОД ПК СТ20 108*4-57*3 ГОСТ17378-01</x:v>
      </x:c>
      <x:c r="D135" s="16" t="str">
        <x:v>Детали фасонные</x:v>
      </x:c>
      <x:c r="E135" s="16" t="str">
        <x:v>ШТ</x:v>
      </x:c>
      <x:c r="F135" s="21" t="n">
        <x:v>1</x:v>
      </x:c>
      <x:c r="G135" s="17" t="n">
        <x:v>16.47</x:v>
      </x:c>
      <x:c r="H135" s="17" t="n">
        <x:f>G135*F135</x:f>
        <x:v>16.47</x:v>
      </x:c>
      <x:c r="I135" s="22" t="str">
        <x:f>HYPERLINK("https://etp-aktiv.ru/catalog/materialy/truboprovody/2000555066-Y121/","Открыть позицию")</x:f>
        <x:v>Открыть позицию</x:v>
      </x:c>
    </x:row>
    <x:row r="136" ht="28" customHeight="1">
      <x:c r="A136" s="16" t="str">
        <x:v>Филиал «Тепловые сети»</x:v>
      </x:c>
      <x:c r="B136" s="16" t="str">
        <x:v>2000555076-Y121</x:v>
      </x:c>
      <x:c r="C136" s="16" t="str">
        <x:v>ПЕРЕХОД ПК СТ20 38*3-32*3 ГОСТ17378-01</x:v>
      </x:c>
      <x:c r="D136" s="16" t="str">
        <x:v>Детали фасонные</x:v>
      </x:c>
      <x:c r="E136" s="16" t="str">
        <x:v>ШТ</x:v>
      </x:c>
      <x:c r="F136" s="21" t="n">
        <x:v>2</x:v>
      </x:c>
      <x:c r="G136" s="17" t="n">
        <x:v>9.15</x:v>
      </x:c>
      <x:c r="H136" s="17" t="n">
        <x:f>G136*F136</x:f>
        <x:v>18.3</x:v>
      </x:c>
      <x:c r="I136" s="22" t="str">
        <x:f>HYPERLINK("https://etp-aktiv.ru/catalog/materialy/truboprovody/2000555076-Y121/","Открыть позицию")</x:f>
        <x:v>Открыть позицию</x:v>
      </x:c>
    </x:row>
    <x:row r="137" ht="28" customHeight="1">
      <x:c r="A137" s="16" t="str">
        <x:v>Филиал «Тепловые сети»</x:v>
      </x:c>
      <x:c r="B137" s="16" t="str">
        <x:v>2000555077-Y121</x:v>
      </x:c>
      <x:c r="C137" s="16" t="str">
        <x:v>ПЕРЕХОД ПК СТ20 45*4-38*4 ГОСТ17378-01</x:v>
      </x:c>
      <x:c r="D137" s="16" t="str">
        <x:v>Детали фасонные</x:v>
      </x:c>
      <x:c r="E137" s="16" t="str">
        <x:v>ШТ</x:v>
      </x:c>
      <x:c r="F137" s="21" t="n">
        <x:v>11</x:v>
      </x:c>
      <x:c r="G137" s="17" t="n">
        <x:v>10.98</x:v>
      </x:c>
      <x:c r="H137" s="17" t="n">
        <x:f>G137*F137</x:f>
        <x:v>120.78</x:v>
      </x:c>
      <x:c r="I137" s="22" t="str">
        <x:f>HYPERLINK("https://etp-aktiv.ru/catalog/materialy/truboprovody/2000555077-Y121/","Открыть позицию")</x:f>
        <x:v>Открыть позицию</x:v>
      </x:c>
    </x:row>
    <x:row r="138" ht="28" customHeight="1">
      <x:c r="A138" s="16" t="str">
        <x:v>Филиал «Тепловые сети»</x:v>
      </x:c>
      <x:c r="B138" s="16" t="str">
        <x:v>2000555079-Y121</x:v>
      </x:c>
      <x:c r="C138" s="16" t="str">
        <x:v>ПЕРЕХОД ПК СТ20 57*4-38*4 ГОСТ17378-01</x:v>
      </x:c>
      <x:c r="D138" s="16" t="str">
        <x:v>Детали фасонные</x:v>
      </x:c>
      <x:c r="E138" s="16" t="str">
        <x:v>ШТ</x:v>
      </x:c>
      <x:c r="F138" s="21" t="n">
        <x:v>10</x:v>
      </x:c>
      <x:c r="G138" s="17" t="n">
        <x:v>12.81</x:v>
      </x:c>
      <x:c r="H138" s="17" t="n">
        <x:f>G138*F138</x:f>
        <x:v>128.1</x:v>
      </x:c>
      <x:c r="I138" s="22" t="str">
        <x:f>HYPERLINK("https://etp-aktiv.ru/catalog/materialy/truboprovody/2000555079-Y121/","Открыть позицию")</x:f>
        <x:v>Открыть позицию</x:v>
      </x:c>
    </x:row>
    <x:row r="139" ht="28" customHeight="1">
      <x:c r="A139" s="16" t="str">
        <x:v>Филиал «Тепловые сети»</x:v>
      </x:c>
      <x:c r="B139" s="16" t="str">
        <x:v>2000555080-Y121</x:v>
      </x:c>
      <x:c r="C139" s="16" t="str">
        <x:v>ПЕРЕХОД ПК СТ20 57*4-45*2,5 ГОСТ17378-01</x:v>
      </x:c>
      <x:c r="D139" s="16" t="str">
        <x:v>Детали фасонные</x:v>
      </x:c>
      <x:c r="E139" s="16" t="str">
        <x:v>ШТ</x:v>
      </x:c>
      <x:c r="F139" s="21" t="n">
        <x:v>4</x:v>
      </x:c>
      <x:c r="G139" s="17" t="n">
        <x:v>12.81</x:v>
      </x:c>
      <x:c r="H139" s="17" t="n">
        <x:f>G139*F139</x:f>
        <x:v>51.24</x:v>
      </x:c>
      <x:c r="I139" s="22" t="str">
        <x:f>HYPERLINK("https://etp-aktiv.ru/catalog/materialy/truboprovody/2000555080-Y121/","Открыть позицию")</x:f>
        <x:v>Открыть позицию</x:v>
      </x:c>
    </x:row>
    <x:row r="140" ht="28" customHeight="1">
      <x:c r="A140" s="16" t="str">
        <x:v>Филиал «Тепловые сети»</x:v>
      </x:c>
      <x:c r="B140" s="16" t="str">
        <x:v>2000555081-Y121</x:v>
      </x:c>
      <x:c r="C140" s="16" t="str">
        <x:v>ПЕРЕХОД ПК СТ20 57*4-45*4 ГОСТ17378-01</x:v>
      </x:c>
      <x:c r="D140" s="16" t="str">
        <x:v>Детали фасонные</x:v>
      </x:c>
      <x:c r="E140" s="16" t="str">
        <x:v>ШТ</x:v>
      </x:c>
      <x:c r="F140" s="21" t="n">
        <x:v>1</x:v>
      </x:c>
      <x:c r="G140" s="17" t="n">
        <x:v>12.81</x:v>
      </x:c>
      <x:c r="H140" s="17" t="n">
        <x:f>G140*F140</x:f>
        <x:v>12.81</x:v>
      </x:c>
      <x:c r="I140" s="22" t="str">
        <x:f>HYPERLINK("https://etp-aktiv.ru/catalog/materialy/truboprovody/2000555081-Y121/","Открыть позицию")</x:f>
        <x:v>Открыть позицию</x:v>
      </x:c>
    </x:row>
    <x:row r="141" ht="28" customHeight="1">
      <x:c r="A141" s="16" t="str">
        <x:v>Филиал «Тепловые сети»</x:v>
      </x:c>
      <x:c r="B141" s="16" t="str">
        <x:v>2000555086-Y121</x:v>
      </x:c>
      <x:c r="C141" s="16" t="str">
        <x:v>ПЕРЕХОД ПК СТ20 57*6-45*5 ГОСТ17378-01</x:v>
      </x:c>
      <x:c r="D141" s="16" t="str">
        <x:v>Детали фасонные</x:v>
      </x:c>
      <x:c r="E141" s="16" t="str">
        <x:v>ШТ</x:v>
      </x:c>
      <x:c r="F141" s="21" t="n">
        <x:v>14</x:v>
      </x:c>
      <x:c r="G141" s="17" t="n">
        <x:v>12.81</x:v>
      </x:c>
      <x:c r="H141" s="17" t="n">
        <x:f>G141*F141</x:f>
        <x:v>179.34</x:v>
      </x:c>
      <x:c r="I141" s="22" t="str">
        <x:f>HYPERLINK("https://etp-aktiv.ru/catalog/materialy/truboprovody/2000555086-Y121/","Открыть позицию")</x:f>
        <x:v>Открыть позицию</x:v>
      </x:c>
    </x:row>
    <x:row r="142" ht="28" customHeight="1">
      <x:c r="A142" s="16" t="str">
        <x:v>Филиал «Тепловые сети»</x:v>
      </x:c>
      <x:c r="B142" s="16" t="str">
        <x:v>2000555087-Y121</x:v>
      </x:c>
      <x:c r="C142" s="16" t="str">
        <x:v>ПЕРЕХОД ПК СТ20 76*3,5-38*3 ГОСТ17378-01</x:v>
      </x:c>
      <x:c r="D142" s="16" t="str">
        <x:v>Детали фасонные</x:v>
      </x:c>
      <x:c r="E142" s="16" t="str">
        <x:v>ШТ</x:v>
      </x:c>
      <x:c r="F142" s="21" t="n">
        <x:v>2</x:v>
      </x:c>
      <x:c r="G142" s="17" t="n">
        <x:v>14.64</x:v>
      </x:c>
      <x:c r="H142" s="17" t="n">
        <x:f>G142*F142</x:f>
        <x:v>29.28</x:v>
      </x:c>
      <x:c r="I142" s="22" t="str">
        <x:f>HYPERLINK("https://etp-aktiv.ru/catalog/materialy/truboprovody/2000555087-Y121/","Открыть позицию")</x:f>
        <x:v>Открыть позицию</x:v>
      </x:c>
    </x:row>
    <x:row r="143" ht="28" customHeight="1">
      <x:c r="A143" s="16" t="str">
        <x:v>Филиал «Тепловые сети»</x:v>
      </x:c>
      <x:c r="B143" s="16" t="str">
        <x:v>2000555123-Y121</x:v>
      </x:c>
      <x:c r="C143" s="16" t="str">
        <x:v>ПЕРЕХОД ПК СТ20 76*5-45*4 ГОСТ17378-01</x:v>
      </x:c>
      <x:c r="D143" s="16" t="str">
        <x:v>Детали фасонные</x:v>
      </x:c>
      <x:c r="E143" s="16" t="str">
        <x:v>ШТ</x:v>
      </x:c>
      <x:c r="F143" s="21" t="n">
        <x:v>12</x:v>
      </x:c>
      <x:c r="G143" s="17" t="n">
        <x:v>14.64</x:v>
      </x:c>
      <x:c r="H143" s="17" t="n">
        <x:f>G143*F143</x:f>
        <x:v>175.68</x:v>
      </x:c>
      <x:c r="I143" s="22" t="str">
        <x:f>HYPERLINK("https://etp-aktiv.ru/catalog/materialy/truboprovody/2000555123-Y121/","Открыть позицию")</x:f>
        <x:v>Открыть позицию</x:v>
      </x:c>
    </x:row>
    <x:row r="144" ht="28" customHeight="1">
      <x:c r="A144" s="16" t="str">
        <x:v>Филиал «Тепловые сети»</x:v>
      </x:c>
      <x:c r="B144" s="16" t="str">
        <x:v>2000555089-Y121</x:v>
      </x:c>
      <x:c r="C144" s="16" t="str">
        <x:v>ПЕРЕХОД ПК СТ20 76*6-38*3 ГОСТ17378-01</x:v>
      </x:c>
      <x:c r="D144" s="16" t="str">
        <x:v>Детали фасонные</x:v>
      </x:c>
      <x:c r="E144" s="16" t="str">
        <x:v>ШТ</x:v>
      </x:c>
      <x:c r="F144" s="21" t="n">
        <x:v>6</x:v>
      </x:c>
      <x:c r="G144" s="17" t="n">
        <x:v>14.64</x:v>
      </x:c>
      <x:c r="H144" s="17" t="n">
        <x:f>G144*F144</x:f>
        <x:v>87.84</x:v>
      </x:c>
      <x:c r="I144" s="22" t="str">
        <x:f>HYPERLINK("https://etp-aktiv.ru/catalog/materialy/truboprovody/2000555089-Y121/","Открыть позицию")</x:f>
        <x:v>Открыть позицию</x:v>
      </x:c>
    </x:row>
    <x:row r="145" ht="28" customHeight="1">
      <x:c r="A145" s="16" t="str">
        <x:v>Филиал «Тепловые сети»</x:v>
      </x:c>
      <x:c r="B145" s="16" t="str">
        <x:v>2000555092-Y121</x:v>
      </x:c>
      <x:c r="C145" s="16" t="str">
        <x:v>ПЕРЕХОД ПК СТ20 89*6-57*5 ГОСТ17378-01</x:v>
      </x:c>
      <x:c r="D145" s="16" t="str">
        <x:v>Детали фасонные</x:v>
      </x:c>
      <x:c r="E145" s="16" t="str">
        <x:v>ШТ</x:v>
      </x:c>
      <x:c r="F145" s="21" t="n">
        <x:v>2</x:v>
      </x:c>
      <x:c r="G145" s="17" t="n">
        <x:v>16.47</x:v>
      </x:c>
      <x:c r="H145" s="17" t="n">
        <x:f>G145*F145</x:f>
        <x:v>32.94</x:v>
      </x:c>
      <x:c r="I145" s="22" t="str">
        <x:f>HYPERLINK("https://etp-aktiv.ru/catalog/materialy/truboprovody/2000555092-Y121/","Открыть позицию")</x:f>
        <x:v>Открыть позицию</x:v>
      </x:c>
    </x:row>
    <x:row r="146" ht="28" customHeight="1">
      <x:c r="A146" s="16" t="str">
        <x:v>Филиал «Тепловые сети»</x:v>
      </x:c>
      <x:c r="B146" s="16" t="str">
        <x:v>2000555135-Y121</x:v>
      </x:c>
      <x:c r="C146" s="16" t="str">
        <x:v>ПЕРЕХОД Э СТ20 57*3-38*2 ГОСТ17378-01</x:v>
      </x:c>
      <x:c r="D146" s="16" t="str">
        <x:v>Детали фасонные</x:v>
      </x:c>
      <x:c r="E146" s="16" t="str">
        <x:v>ШТ</x:v>
      </x:c>
      <x:c r="F146" s="21" t="n">
        <x:v>20</x:v>
      </x:c>
      <x:c r="G146" s="17" t="n">
        <x:v>9.15</x:v>
      </x:c>
      <x:c r="H146" s="17" t="n">
        <x:f>G146*F146</x:f>
        <x:v>183</x:v>
      </x:c>
      <x:c r="I146" s="22" t="str">
        <x:f>HYPERLINK("https://etp-aktiv.ru/catalog/materialy/truboprovody/2000555135-Y121/","Открыть позицию")</x:f>
        <x:v>Открыть позицию</x:v>
      </x:c>
    </x:row>
    <x:row r="147" ht="28" customHeight="1">
      <x:c r="A147" s="16" t="str">
        <x:v>Филиал «Тепловые сети»</x:v>
      </x:c>
      <x:c r="B147" s="16" t="str">
        <x:v>2000562573-Y121</x:v>
      </x:c>
      <x:c r="C147" s="16" t="str">
        <x:v>ПРОУШИНА СТ3ПС6-1 ТС-676.00.004-04</x:v>
      </x:c>
      <x:c r="D147" s="16" t="str">
        <x:v>Система опорно-подвесная</x:v>
      </x:c>
      <x:c r="E147" s="16" t="str">
        <x:v>ШТ</x:v>
      </x:c>
      <x:c r="F147" s="21" t="n">
        <x:v>10</x:v>
      </x:c>
      <x:c r="G147" s="17" t="n">
        <x:v>18.3</x:v>
      </x:c>
      <x:c r="H147" s="17" t="n">
        <x:f>G147*F147</x:f>
        <x:v>183</x:v>
      </x:c>
      <x:c r="I147" s="22" t="str">
        <x:f>HYPERLINK("https://etp-aktiv.ru/catalog/materialy/truboprovody/2000562573-Y121/","Открыть позицию")</x:f>
        <x:v>Открыть позицию</x:v>
      </x:c>
    </x:row>
    <x:row r="148" ht="28" customHeight="1">
      <x:c r="A148" s="16" t="str">
        <x:v>Филиал «Тепловые сети»</x:v>
      </x:c>
      <x:c r="B148" s="16" t="str">
        <x:v>2000562562-Y121</x:v>
      </x:c>
      <x:c r="C148" s="16" t="str">
        <x:v>СЕРЬГА СТ3ПС6-1 ТС-676.00.001-05</x:v>
      </x:c>
      <x:c r="D148" s="16" t="str">
        <x:v>Система опорно-подвесная</x:v>
      </x:c>
      <x:c r="E148" s="16" t="str">
        <x:v>ШТ</x:v>
      </x:c>
      <x:c r="F148" s="21" t="n">
        <x:v>1</x:v>
      </x:c>
      <x:c r="G148" s="17" t="n">
        <x:v>14.64</x:v>
      </x:c>
      <x:c r="H148" s="17" t="n">
        <x:f>G148*F148</x:f>
        <x:v>14.64</x:v>
      </x:c>
      <x:c r="I148" s="22" t="str">
        <x:f>HYPERLINK("https://etp-aktiv.ru/catalog/materialy/truboprovody/2000562562-Y121/","Открыть позицию")</x:f>
        <x:v>Открыть позицию</x:v>
      </x:c>
    </x:row>
    <x:row r="149" ht="28" customHeight="1">
      <x:c r="A149" s="16" t="str">
        <x:v>Филиал «Тепловые сети»</x:v>
      </x:c>
      <x:c r="B149" s="16" t="str">
        <x:v>2000568287-Y121</x:v>
      </x:c>
      <x:c r="C149" s="16" t="str">
        <x:v>ТРОЙНИК 17Г1С 1020*25-720*14 ТС-588-178</x:v>
      </x:c>
      <x:c r="D149" s="16" t="str">
        <x:v>Детали фасонные</x:v>
      </x:c>
      <x:c r="E149" s="16" t="str">
        <x:v>ШТ</x:v>
      </x:c>
      <x:c r="F149" s="21" t="n">
        <x:v>2</x:v>
      </x:c>
      <x:c r="G149" s="17" t="n">
        <x:v>16707.899999999998</x:v>
      </x:c>
      <x:c r="H149" s="17" t="n">
        <x:f>G149*F149</x:f>
        <x:v>33415.799999999996</x:v>
      </x:c>
      <x:c r="I149" s="22" t="str">
        <x:f>HYPERLINK("https://etp-aktiv.ru/catalog/materialy/truboprovody/2000568287-Y121/","Открыть позицию")</x:f>
        <x:v>Открыть позицию</x:v>
      </x:c>
    </x:row>
    <x:row r="150" ht="28" customHeight="1">
      <x:c r="A150" s="16" t="str">
        <x:v>Филиал «Тепловые сети»</x:v>
      </x:c>
      <x:c r="B150" s="16" t="str">
        <x:v>2000559595-Y121</x:v>
      </x:c>
      <x:c r="C150" s="16" t="str">
        <x:v>ТРОЙНИК СТ 530-325 2-ППУ-ПЭ ГОСТ30732-06</x:v>
      </x:c>
      <x:c r="D150" s="16" t="str">
        <x:v>Трубы и элементы трубопроводов теплоизолиров и футерованных</x:v>
      </x:c>
      <x:c r="E150" s="16" t="str">
        <x:v>ШТ</x:v>
      </x:c>
      <x:c r="F150" s="21" t="n">
        <x:v>4</x:v>
      </x:c>
      <x:c r="G150" s="17" t="n">
        <x:v>2324.1</x:v>
      </x:c>
      <x:c r="H150" s="17" t="n">
        <x:f>G150*F150</x:f>
        <x:v>9296.4</x:v>
      </x:c>
      <x:c r="I150" s="22" t="str">
        <x:f>HYPERLINK("https://etp-aktiv.ru/catalog/materialy/truboprovody/2000559595-Y121/","Открыть позицию")</x:f>
        <x:v>Открыть позицию</x:v>
      </x:c>
    </x:row>
    <x:row r="151" ht="28" customHeight="1">
      <x:c r="A151" s="16" t="str">
        <x:v>Филиал «Тепловые сети»</x:v>
      </x:c>
      <x:c r="B151" s="16" t="str">
        <x:v>2000568296-Y121</x:v>
      </x:c>
      <x:c r="C151" s="16" t="str">
        <x:v>ТРОЙНИК СТ20 ОЦ 76,1*5-42,4*3,6 ИСП.1</x:v>
      </x:c>
      <x:c r="D151" s="16" t="str">
        <x:v>Детали фасонные</x:v>
      </x:c>
      <x:c r="E151" s="16" t="str">
        <x:v>ШТ</x:v>
      </x:c>
      <x:c r="F151" s="21" t="n">
        <x:v>1</x:v>
      </x:c>
      <x:c r="G151" s="17" t="n">
        <x:v>27.45</x:v>
      </x:c>
      <x:c r="H151" s="17" t="n">
        <x:f>G151*F151</x:f>
        <x:v>27.45</x:v>
      </x:c>
      <x:c r="I151" s="22" t="str">
        <x:f>HYPERLINK("https://etp-aktiv.ru/catalog/materialy/truboprovody/2000568296-Y121/","Открыть позицию")</x:f>
        <x:v>Открыть позицию</x:v>
      </x:c>
    </x:row>
    <x:row r="152" ht="28" customHeight="1">
      <x:c r="A152" s="16" t="str">
        <x:v>Филиал «Тепловые сети»</x:v>
      </x:c>
      <x:c r="B152" s="16" t="str">
        <x:v>2000562570-Y121</x:v>
      </x:c>
      <x:c r="C152" s="16" t="str">
        <x:v>ТЯГА РЕЗ СТ20 ТС-677.01.102-08</x:v>
      </x:c>
      <x:c r="D152" s="16" t="str">
        <x:v>Система опорно-подвесная</x:v>
      </x:c>
      <x:c r="E152" s="16" t="str">
        <x:v>ШТ</x:v>
      </x:c>
      <x:c r="F152" s="21" t="n">
        <x:v>10</x:v>
      </x:c>
      <x:c r="G152" s="17" t="n">
        <x:v>14.64</x:v>
      </x:c>
      <x:c r="H152" s="17" t="n">
        <x:f>G152*F152</x:f>
        <x:v>146.4</x:v>
      </x:c>
      <x:c r="I152" s="22" t="str">
        <x:f>HYPERLINK("https://etp-aktiv.ru/catalog/materialy/truboprovody/2000562570-Y121/","Открыть позицию")</x:f>
        <x:v>Открыть позицию</x:v>
      </x:c>
    </x:row>
    <x:row r="153" ht="28" customHeight="1">
      <x:c r="A153" s="16" t="str">
        <x:v>Филиал «Тепловые сети»</x:v>
      </x:c>
      <x:c r="B153" s="16" t="str">
        <x:v>2000554712-Y121</x:v>
      </x:c>
      <x:c r="C153" s="16" t="str">
        <x:v>ФЛАНЕЦ 09Г2С DN20 PN1,6 И.1 ГОСТ12820</x:v>
      </x:c>
      <x:c r="D153" s="16" t="str">
        <x:v>Детали фасонные</x:v>
      </x:c>
      <x:c r="E153" s="16" t="str">
        <x:v>ШТ</x:v>
      </x:c>
      <x:c r="F153" s="21" t="n">
        <x:v>90</x:v>
      </x:c>
      <x:c r="G153" s="17" t="n">
        <x:v>18.3</x:v>
      </x:c>
      <x:c r="H153" s="17" t="n">
        <x:f>G153*F153</x:f>
        <x:v>1647</x:v>
      </x:c>
      <x:c r="I153" s="22" t="str">
        <x:f>HYPERLINK("https://etp-aktiv.ru/catalog/materialy/truboprovody/2000554712-Y121/","Открыть позицию")</x:f>
        <x:v>Открыть позицию</x:v>
      </x:c>
    </x:row>
    <x:row r="154" ht="28" customHeight="1">
      <x:c r="A154" s="16" t="str">
        <x:v>Филиал «Тепловые сети»</x:v>
      </x:c>
      <x:c r="B154" s="16" t="str">
        <x:v>2000554794-Y121</x:v>
      </x:c>
      <x:c r="C154" s="16" t="str">
        <x:v>ФЛАНЕЦ 09Г2С DN20 PN16 01-1-B-IV 33259</x:v>
      </x:c>
      <x:c r="D154" s="16" t="str">
        <x:v>Детали фасонные</x:v>
      </x:c>
      <x:c r="E154" s="16" t="str">
        <x:v>ШТ</x:v>
      </x:c>
      <x:c r="F154" s="21" t="n">
        <x:v>2</x:v>
      </x:c>
      <x:c r="G154" s="17" t="n">
        <x:v>18.3</x:v>
      </x:c>
      <x:c r="H154" s="17" t="n">
        <x:f>G154*F154</x:f>
        <x:v>36.6</x:v>
      </x:c>
      <x:c r="I154" s="22" t="str">
        <x:f>HYPERLINK("https://etp-aktiv.ru/catalog/materialy/truboprovody/2000554794-Y121/","Открыть позицию")</x:f>
        <x:v>Открыть позицию</x:v>
      </x:c>
    </x:row>
    <x:row r="155" ht="28" customHeight="1">
      <x:c r="A155" s="16" t="str">
        <x:v>Филиал «Тепловые сети»</x:v>
      </x:c>
      <x:c r="B155" s="16" t="str">
        <x:v>2000554797-Y121</x:v>
      </x:c>
      <x:c r="C155" s="16" t="str">
        <x:v>ФЛАНЕЦ СТ20 DN20 PN25 01-1-F-IV Г33259</x:v>
      </x:c>
      <x:c r="D155" s="16" t="str">
        <x:v>Детали фасонные</x:v>
      </x:c>
      <x:c r="E155" s="16" t="str">
        <x:v>ШТ</x:v>
      </x:c>
      <x:c r="F155" s="21" t="n">
        <x:v>3</x:v>
      </x:c>
      <x:c r="G155" s="17" t="n">
        <x:v>21.96</x:v>
      </x:c>
      <x:c r="H155" s="17" t="n">
        <x:f>G155*F155</x:f>
        <x:v>65.88</x:v>
      </x:c>
      <x:c r="I155" s="22" t="str">
        <x:f>HYPERLINK("https://etp-aktiv.ru/catalog/materialy/truboprovody/2000554797-Y121/","Открыть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9c7d9447f3784f71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Металлопрокат, металлоконструкции и сварка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2000556256-Y115</x:v>
      </x:c>
      <x:c r="C5" s="16" t="str">
        <x:v>ПРИПОЙ ПМФОЦР 6-4-0,03 3,0ММ ТУ48-21-663</x:v>
      </x:c>
      <x:c r="D5" s="16" t="str">
        <x:v>Металлопрокат цветной</x:v>
      </x:c>
      <x:c r="E5" s="16" t="str">
        <x:v>КГ</x:v>
      </x:c>
      <x:c r="F5" s="29" t="n">
        <x:v>0.1</x:v>
      </x:c>
      <x:c r="G5" s="17" t="n">
        <x:v>2562</x:v>
      </x:c>
      <x:c r="H5" s="17" t="n">
        <x:f>G5*F5</x:f>
        <x:v>256.2</x:v>
      </x:c>
      <x:c r="I5" s="22" t="str">
        <x:f>HYPERLINK("https://etp-aktiv.ru/catalog/materialy/metalloprodukciya/2000556256-Y115/","Открыть позицию")</x:f>
        <x:v>Открыть позицию</x:v>
      </x:c>
    </x:row>
    <x:row r="6" ht="28" customHeight="1">
      <x:c r="A6" s="16" t="str">
        <x:v>Барабинская ТЭЦ</x:v>
      </x:c>
      <x:c r="B6" s="16" t="str">
        <x:v>2000556264-Y115</x:v>
      </x:c>
      <x:c r="C6" s="16" t="str">
        <x:v>ПРИПОЙ ПОС-40 3ММ ГОСТ21931-76</x:v>
      </x:c>
      <x:c r="D6" s="16" t="str">
        <x:v>Металлопрокат цветной</x:v>
      </x:c>
      <x:c r="E6" s="16" t="str">
        <x:v>КГ</x:v>
      </x:c>
      <x:c r="F6" s="21" t="n">
        <x:v>1</x:v>
      </x:c>
      <x:c r="G6" s="17" t="n">
        <x:v>2562</x:v>
      </x:c>
      <x:c r="H6" s="17" t="n">
        <x:f>G6*F6</x:f>
        <x:v>2562</x:v>
      </x:c>
      <x:c r="I6" s="22" t="str">
        <x:f>HYPERLINK("https://etp-aktiv.ru/catalog/materialy/metalloprodukciya/2000556264-Y115/","Открыть позицию")</x:f>
        <x:v>Открыть позицию</x:v>
      </x:c>
    </x:row>
    <x:row r="7" ht="28" customHeight="1">
      <x:c r="A7" s="16" t="str">
        <x:v>Новосибирская ТЭЦ-2</x:v>
      </x:c>
      <x:c r="B7" s="16" t="str">
        <x:v>2000574394-Y111</x:v>
      </x:c>
      <x:c r="C7" s="16" t="str">
        <x:v>ГАЙКА СТЫКОВАЯ B М27-7H.5 ГОСТ11532</x:v>
      </x:c>
      <x:c r="D7" s="16" t="str">
        <x:v>Метизы</x:v>
      </x:c>
      <x:c r="E7" s="16" t="str">
        <x:v>КГ</x:v>
      </x:c>
      <x:c r="F7" s="21" t="n">
        <x:v>16</x:v>
      </x:c>
      <x:c r="G7" s="17" t="n">
        <x:v>18.3</x:v>
      </x:c>
      <x:c r="H7" s="17" t="n">
        <x:f>G7*F7</x:f>
        <x:v>292.8</x:v>
      </x:c>
      <x:c r="I7" s="22" t="str">
        <x:f>HYPERLINK("https://etp-aktiv.ru/catalog/materialy/metizy/2000574394-Y111/","Открыть позицию")</x:f>
        <x:v>Открыть позицию</x:v>
      </x:c>
    </x:row>
    <x:row r="8" ht="28" customHeight="1">
      <x:c r="A8" s="16" t="str">
        <x:v>Новосибирская ТЭЦ-2</x:v>
      </x:c>
      <x:c r="B8" s="16" t="str">
        <x:v>2000530128-Y111</x:v>
      </x:c>
      <x:c r="C8" s="16" t="str">
        <x:v>ЗАКЛЕПКА 5*16 00 ГОСТ10300-80</x:v>
      </x:c>
      <x:c r="D8" s="16" t="str">
        <x:v>Метизы специализированные и под заказ</x:v>
      </x:c>
      <x:c r="E8" s="16" t="str">
        <x:v>ШТ</x:v>
      </x:c>
      <x:c r="F8" s="21" t="n">
        <x:v>50</x:v>
      </x:c>
      <x:c r="G8" s="17" t="n">
        <x:v>0.0732</x:v>
      </x:c>
      <x:c r="H8" s="17" t="n">
        <x:f>G8*F8</x:f>
        <x:v>3.66</x:v>
      </x:c>
      <x:c r="I8" s="22" t="str">
        <x:f>HYPERLINK("https://etp-aktiv.ru/catalog/materialy/metizy/2000530128-Y111/","Открыть позицию")</x:f>
        <x:v>Открыть позицию</x:v>
      </x:c>
    </x:row>
    <x:row r="9" ht="28" customHeight="1">
      <x:c r="A9" s="16" t="str">
        <x:v>Новосибирская ТЭЦ-2</x:v>
      </x:c>
      <x:c r="B9" s="16" t="str">
        <x:v>2000555749-Y111</x:v>
      </x:c>
      <x:c r="C9" s="16" t="str">
        <x:v>КВАДРАТ СТ45 50ММ ГОСТ2591-2006</x:v>
      </x:c>
      <x:c r="D9" s="16" t="str">
        <x:v>Металлопрокат прочий</x:v>
      </x:c>
      <x:c r="E9" s="16" t="str">
        <x:v>Т</x:v>
      </x:c>
      <x:c r="F9" s="29" t="n">
        <x:v>0.211</x:v>
      </x:c>
      <x:c r="G9" s="17" t="n">
        <x:v>18300</x:v>
      </x:c>
      <x:c r="H9" s="17" t="n">
        <x:f>G9*F9</x:f>
        <x:v>3861.2999999999997</x:v>
      </x:c>
      <x:c r="I9" s="22" t="str">
        <x:f>HYPERLINK("https://etp-aktiv.ru/catalog/materialy/metalloprodukciya/2000555749-Y111/","Открыть позицию")</x:f>
        <x:v>Открыть позицию</x:v>
      </x:c>
    </x:row>
    <x:row r="10" ht="28" customHeight="1">
      <x:c r="A10" s="16" t="str">
        <x:v>Новосибирская ТЭЦ-2</x:v>
      </x:c>
      <x:c r="B10" s="16" t="str">
        <x:v>2000172484-Y111</x:v>
      </x:c>
      <x:c r="C10" s="16" t="str">
        <x:v>КРУГ СТ3 D60ММ ГОСТ2509-88</x:v>
      </x:c>
      <x:c r="D10" s="16" t="str">
        <x:v>Металлопрокат черный</x:v>
      </x:c>
      <x:c r="E10" s="16" t="str">
        <x:v>Т</x:v>
      </x:c>
      <x:c r="F10" s="29" t="n">
        <x:v>0.015</x:v>
      </x:c>
      <x:c r="G10" s="17" t="n">
        <x:v>75456.39</x:v>
      </x:c>
      <x:c r="H10" s="17" t="n">
        <x:f>G10*F10</x:f>
        <x:v>1131.84585</x:v>
      </x:c>
      <x:c r="I10" s="22" t="str">
        <x:f>HYPERLINK("https://etp-aktiv.ru/catalog/materialy/metalloprodukciya/2000172484-Y111/","Открыть позицию")</x:f>
        <x:v>Открыть позицию</x:v>
      </x:c>
    </x:row>
    <x:row r="11" ht="28" customHeight="1">
      <x:c r="A11" s="16" t="str">
        <x:v>Новосибирская ТЭЦ-2</x:v>
      </x:c>
      <x:c r="B11" s="16" t="str">
        <x:v>2000200762-Y111</x:v>
      </x:c>
      <x:c r="C11" s="16" t="str">
        <x:v>ЛИСТ Г/К СТ3 14*1500*6000 ГОСТ19903-74</x:v>
      </x:c>
      <x:c r="D11" s="16" t="str">
        <x:v>Металлопрокат черный</x:v>
      </x:c>
      <x:c r="E11" s="16" t="str">
        <x:v>Т</x:v>
      </x:c>
      <x:c r="F11" s="29" t="n">
        <x:v>0.003</x:v>
      </x:c>
      <x:c r="G11" s="17" t="n">
        <x:v>75030</x:v>
      </x:c>
      <x:c r="H11" s="17" t="n">
        <x:f>G11*F11</x:f>
        <x:v>225.09</x:v>
      </x:c>
      <x:c r="I11" s="22" t="str">
        <x:f>HYPERLINK("https://etp-aktiv.ru/catalog/materialy/metalloprodukciya/2000200762-Y111/","Открыть позицию")</x:f>
        <x:v>Открыть позицию</x:v>
      </x:c>
    </x:row>
    <x:row r="12" ht="28" customHeight="1">
      <x:c r="A12" s="16" t="str">
        <x:v>Новосибирская ТЭЦ-2</x:v>
      </x:c>
      <x:c r="B12" s="16" t="str">
        <x:v>2000255361-Y111</x:v>
      </x:c>
      <x:c r="C12" s="16" t="str">
        <x:v>ЛИСТ С245 10ММ ГОСТ27772-88</x:v>
      </x:c>
      <x:c r="D12" s="16" t="str">
        <x:v>Металлопрокат черный</x:v>
      </x:c>
      <x:c r="E12" s="16" t="str">
        <x:v>Т</x:v>
      </x:c>
      <x:c r="F12" s="29" t="n">
        <x:v>0.032</x:v>
      </x:c>
      <x:c r="G12" s="17" t="n">
        <x:v>81946.83879999998</x:v>
      </x:c>
      <x:c r="H12" s="17" t="n">
        <x:f>G12*F12</x:f>
        <x:v>2622.2988415999994</x:v>
      </x:c>
      <x:c r="I12" s="22" t="str">
        <x:f>HYPERLINK("https://etp-aktiv.ru/catalog/materialy/metalloprodukciya/2000255361-Y111/","Открыть позицию")</x:f>
        <x:v>Открыть позицию</x:v>
      </x:c>
    </x:row>
    <x:row r="13" ht="28" customHeight="1">
      <x:c r="A13" s="16" t="str">
        <x:v>Новосибирская ТЭЦ-2</x:v>
      </x:c>
      <x:c r="B13" s="16" t="str">
        <x:v>2000220286-Y111</x:v>
      </x:c>
      <x:c r="C13" s="16" t="str">
        <x:v>ЛИСТ СТ20 6ММ ГОСТ19904-90</x:v>
      </x:c>
      <x:c r="D13" s="16" t="str">
        <x:v>Металлопрокат черный</x:v>
      </x:c>
      <x:c r="E13" s="16" t="str">
        <x:v>Т</x:v>
      </x:c>
      <x:c r="F13" s="29" t="n">
        <x:v>0.019</x:v>
      </x:c>
      <x:c r="G13" s="17" t="n">
        <x:v>107055</x:v>
      </x:c>
      <x:c r="H13" s="17" t="n">
        <x:f>G13*F13</x:f>
        <x:v>2034.0449999999998</x:v>
      </x:c>
      <x:c r="I13" s="22" t="str">
        <x:f>HYPERLINK("https://etp-aktiv.ru/catalog/materialy/metalloprodukciya/2000220286-Y111/","Открыть позицию")</x:f>
        <x:v>Открыть позицию</x:v>
      </x:c>
    </x:row>
    <x:row r="14" ht="28" customHeight="1">
      <x:c r="A14" s="16" t="str">
        <x:v>Новосибирская ТЭЦ-2</x:v>
      </x:c>
      <x:c r="B14" s="16" t="str">
        <x:v>2000638500-Y111</x:v>
      </x:c>
      <x:c r="C14" s="16" t="str">
        <x:v>ПРОВОЛОКА 2,0-О-Ч ГОСТ3282-74</x:v>
      </x:c>
      <x:c r="D14" s="16" t="str">
        <x:v>Метизы специализированные и под заказ</x:v>
      </x:c>
      <x:c r="E14" s="16" t="str">
        <x:v>КГ</x:v>
      </x:c>
      <x:c r="F14" s="21" t="n">
        <x:v>58</x:v>
      </x:c>
      <x:c r="G14" s="17" t="n">
        <x:v>8.54</x:v>
      </x:c>
      <x:c r="H14" s="17" t="n">
        <x:f>G14*F14</x:f>
        <x:v>495.31999999999994</x:v>
      </x:c>
      <x:c r="I14" s="22" t="str">
        <x:f>HYPERLINK("https://etp-aktiv.ru/catalog/materialy/metizy/2000638500-Y111/","Открыть позицию")</x:f>
        <x:v>Открыть позицию</x:v>
      </x:c>
    </x:row>
    <x:row r="15" ht="28" customHeight="1">
      <x:c r="A15" s="16" t="str">
        <x:v>Новосибирская ТЭЦ-2</x:v>
      </x:c>
      <x:c r="B15" s="16" t="str">
        <x:v>2000210745-Y111</x:v>
      </x:c>
      <x:c r="C15" s="16" t="str">
        <x:v>ПРОВОЛОКА СВ08Г2С D2ММ ГОСТ2246-70</x:v>
      </x:c>
      <x:c r="D15" s="16" t="str">
        <x:v>Сварочные электроды</x:v>
      </x:c>
      <x:c r="E15" s="16" t="str">
        <x:v>КГ</x:v>
      </x:c>
      <x:c r="F15" s="21" t="n">
        <x:v>10</x:v>
      </x:c>
      <x:c r="G15" s="17" t="n">
        <x:v>58.56</x:v>
      </x:c>
      <x:c r="H15" s="17" t="n">
        <x:f>G15*F15</x:f>
        <x:v>585.6</x:v>
      </x:c>
      <x:c r="I15" s="22" t="str">
        <x:f>HYPERLINK("https://etp-aktiv.ru/catalog/materialy/svarochnye-ehlektrody/2000210745-Y111/","Открыть позицию")</x:f>
        <x:v>Открыть позицию</x:v>
      </x:c>
    </x:row>
    <x:row r="16" ht="28" customHeight="1">
      <x:c r="A16" s="16" t="str">
        <x:v>Новосибирская ТЭЦ-2</x:v>
      </x:c>
      <x:c r="B16" s="16" t="str">
        <x:v>2000546374-Y111</x:v>
      </x:c>
      <x:c r="C16" s="16" t="str">
        <x:v>ПРОВОЛОКА СВ08Г2С-О D2ММ ГОСТ2246-70</x:v>
      </x:c>
      <x:c r="D16" s="16" t="str">
        <x:v>Сварочные электроды</x:v>
      </x:c>
      <x:c r="E16" s="16" t="str">
        <x:v>КГ</x:v>
      </x:c>
      <x:c r="F16" s="30" t="n">
        <x:v>10.5</x:v>
      </x:c>
      <x:c r="G16" s="17" t="n">
        <x:v>65.2334</x:v>
      </x:c>
      <x:c r="H16" s="17" t="n">
        <x:f>G16*F16</x:f>
        <x:v>684.9507</x:v>
      </x:c>
      <x:c r="I16" s="22" t="str">
        <x:f>HYPERLINK("https://etp-aktiv.ru/catalog/materialy/svarochnye-ehlektrody/2000546374-Y111/","Открыть позицию")</x:f>
        <x:v>Открыть позицию</x:v>
      </x:c>
    </x:row>
    <x:row r="17" ht="28" customHeight="1">
      <x:c r="A17" s="16" t="str">
        <x:v>Новосибирская ТЭЦ-2</x:v>
      </x:c>
      <x:c r="B17" s="16" t="str">
        <x:v>2000530260-Y111</x:v>
      </x:c>
      <x:c r="C17" s="16" t="str">
        <x:v>ШАЙБА ПЛОСКАЯ А.22 01 ГОСТ11371-78</x:v>
      </x:c>
      <x:c r="D17" s="16" t="str">
        <x:v>Метизы</x:v>
      </x:c>
      <x:c r="E17" s="16" t="str">
        <x:v>КГ</x:v>
      </x:c>
      <x:c r="F17" s="30" t="n">
        <x:v>5.2</x:v>
      </x:c>
      <x:c r="G17" s="17" t="n">
        <x:v>18.3</x:v>
      </x:c>
      <x:c r="H17" s="17" t="n">
        <x:f>G17*F17</x:f>
        <x:v>95.16000000000001</x:v>
      </x:c>
      <x:c r="I17" s="22" t="str">
        <x:f>HYPERLINK("https://etp-aktiv.ru/catalog/materialy/metizy/2000530260-Y111/","Открыть позицию")</x:f>
        <x:v>Открыть позицию</x:v>
      </x:c>
    </x:row>
    <x:row r="18" ht="28" customHeight="1">
      <x:c r="A18" s="16" t="str">
        <x:v>Новосибирская ТЭЦ-2</x:v>
      </x:c>
      <x:c r="B18" s="16" t="str">
        <x:v>2000126085-Y111</x:v>
      </x:c>
      <x:c r="C18" s="16" t="str">
        <x:v>ШВЕЛЛЕР СТ3ПС5 16П</x:v>
      </x:c>
      <x:c r="D18" s="16" t="str">
        <x:v>Металлопрокат черный</x:v>
      </x:c>
      <x:c r="E18" s="16" t="str">
        <x:v>Т</x:v>
      </x:c>
      <x:c r="F18" s="29" t="n">
        <x:v>0.003</x:v>
      </x:c>
      <x:c r="G18" s="17" t="n">
        <x:v>99732.13299999999</x:v>
      </x:c>
      <x:c r="H18" s="17" t="n">
        <x:f>G18*F18</x:f>
        <x:v>299.196399</x:v>
      </x:c>
      <x:c r="I18" s="22" t="str">
        <x:f>HYPERLINK("https://etp-aktiv.ru/catalog/materialy/metalloprodukciya/2000126085-Y111/","Открыть позицию")</x:f>
        <x:v>Открыть позицию</x:v>
      </x:c>
    </x:row>
    <x:row r="19" ht="28" customHeight="1">
      <x:c r="A19" s="16" t="str">
        <x:v>Новосибирская ТЭЦ-2</x:v>
      </x:c>
      <x:c r="B19" s="16" t="str">
        <x:v>2000634908-Y111</x:v>
      </x:c>
      <x:c r="C19" s="16" t="str">
        <x:v>ШПИЛЬКА М20*110 ГОСТ22038-76</x:v>
      </x:c>
      <x:c r="D19" s="16" t="str">
        <x:v>Метизы</x:v>
      </x:c>
      <x:c r="E19" s="16" t="str">
        <x:v>КГ</x:v>
      </x:c>
      <x:c r="F19" s="30" t="n">
        <x:v>7.6</x:v>
      </x:c>
      <x:c r="G19" s="17" t="n">
        <x:v>1382.2356</x:v>
      </x:c>
      <x:c r="H19" s="17" t="n">
        <x:f>G19*F19</x:f>
        <x:v>10504.99056</x:v>
      </x:c>
      <x:c r="I19" s="22" t="str">
        <x:f>HYPERLINK("https://etp-aktiv.ru/catalog/materialy/metizy/2000634908-Y111/","Открыть позицию")</x:f>
        <x:v>Открыть позицию</x:v>
      </x:c>
    </x:row>
    <x:row r="20" ht="28" customHeight="1">
      <x:c r="A20" s="16" t="str">
        <x:v>Новосибирская ТЭЦ-2</x:v>
      </x:c>
      <x:c r="B20" s="16" t="str">
        <x:v>2000223038-Y111</x:v>
      </x:c>
      <x:c r="C20" s="16" t="str">
        <x:v>ЭЛЕКТРОД ОК 46.00 2,5ММ ГОСТ9467-75</x:v>
      </x:c>
      <x:c r="D20" s="16" t="str">
        <x:v>Сварочные электроды</x:v>
      </x:c>
      <x:c r="E20" s="16" t="str">
        <x:v>Т</x:v>
      </x:c>
      <x:c r="F20" s="29" t="n">
        <x:v>0.041</x:v>
      </x:c>
      <x:c r="G20" s="17" t="n">
        <x:v>80915.46299999999</x:v>
      </x:c>
      <x:c r="H20" s="17" t="n">
        <x:f>G20*F20</x:f>
        <x:v>3317.533983</x:v>
      </x:c>
      <x:c r="I20" s="22" t="str">
        <x:f>HYPERLINK("https://etp-aktiv.ru/catalog/materialy/svarochnye-ehlektrody/2000223038-Y111/","Открыть позицию")</x:f>
        <x:v>Открыть позицию</x:v>
      </x:c>
    </x:row>
    <x:row r="21" ht="28" customHeight="1">
      <x:c r="A21" s="16" t="str">
        <x:v>Новосибирская ТЭЦ-2</x:v>
      </x:c>
      <x:c r="B21" s="16" t="str">
        <x:v>2000015674-Y111</x:v>
      </x:c>
      <x:c r="C21" s="16" t="str">
        <x:v>ЭЛЕКТРОД УОНИ-13/55 3ММ ГОСТ9466-75</x:v>
      </x:c>
      <x:c r="D21" s="16" t="str">
        <x:v>Сварочные электроды</x:v>
      </x:c>
      <x:c r="E21" s="16" t="str">
        <x:v>Т</x:v>
      </x:c>
      <x:c r="F21" s="29" t="n">
        <x:v>0.036</x:v>
      </x:c>
      <x:c r="G21" s="17" t="n">
        <x:v>40832.6802</x:v>
      </x:c>
      <x:c r="H21" s="17" t="n">
        <x:f>G21*F21</x:f>
        <x:v>1469.9764872</x:v>
      </x:c>
      <x:c r="I21" s="22" t="str">
        <x:f>HYPERLINK("https://etp-aktiv.ru/catalog/materialy/svarochnye-ehlektrody/2000015674-Y111/","Открыть позицию")</x:f>
        <x:v>Открыть позицию</x:v>
      </x:c>
    </x:row>
    <x:row r="22" ht="28" customHeight="1">
      <x:c r="A22" s="16" t="str">
        <x:v>Новосибирская ТЭЦ-2</x:v>
      </x:c>
      <x:c r="B22" s="16" t="str">
        <x:v>2000201480-Y111</x:v>
      </x:c>
      <x:c r="C22" s="16" t="str">
        <x:v>ЭЛЕКТРОД УОНИ-13/55 3ММ ГОСТ9466-75 КГ</x:v>
      </x:c>
      <x:c r="D22" s="16" t="str">
        <x:v>Сварочные электроды</x:v>
      </x:c>
      <x:c r="E22" s="16" t="str">
        <x:v>КГ</x:v>
      </x:c>
      <x:c r="F22" s="30" t="n">
        <x:v>11.2</x:v>
      </x:c>
      <x:c r="G22" s="17" t="n">
        <x:v>39.5646</x:v>
      </x:c>
      <x:c r="H22" s="17" t="n">
        <x:f>G22*F22</x:f>
        <x:v>443.12352</x:v>
      </x:c>
      <x:c r="I22" s="22" t="str">
        <x:f>HYPERLINK("https://etp-aktiv.ru/catalog/materialy/svarochnye-ehlektrody/2000201480-Y111/","Открыть позицию")</x:f>
        <x:v>Открыть позицию</x:v>
      </x:c>
    </x:row>
    <x:row r="23" ht="28" customHeight="1">
      <x:c r="A23" s="16" t="str">
        <x:v>Новосибирская ТЭЦ-3</x:v>
      </x:c>
      <x:c r="B23" s="16" t="str">
        <x:v>2000068384-Y112</x:v>
      </x:c>
      <x:c r="C23" s="16" t="str">
        <x:v>БОЛТ М10*30 ГОСТ7805-70</x:v>
      </x:c>
      <x:c r="D23" s="16" t="str">
        <x:v>Метизы</x:v>
      </x:c>
      <x:c r="E23" s="16" t="str">
        <x:v>КГ</x:v>
      </x:c>
      <x:c r="F23" s="29" t="n">
        <x:v>0.04</x:v>
      </x:c>
      <x:c r="G23" s="17" t="n">
        <x:v>176.80239999999998</x:v>
      </x:c>
      <x:c r="H23" s="17" t="n">
        <x:f>G23*F23</x:f>
        <x:v>7.072095999999999</x:v>
      </x:c>
      <x:c r="I23" s="22" t="str">
        <x:f>HYPERLINK("https://etp-aktiv.ru/catalog/materialy/metizy/2000068384-Y112/","Открыть позицию")</x:f>
        <x:v>Открыть позицию</x:v>
      </x:c>
    </x:row>
    <x:row r="24" ht="28" customHeight="1">
      <x:c r="A24" s="16" t="str">
        <x:v>Новосибирская ТЭЦ-3</x:v>
      </x:c>
      <x:c r="B24" s="16" t="str">
        <x:v>2000209385-Y112</x:v>
      </x:c>
      <x:c r="C24" s="16" t="str">
        <x:v>БОЛТ М12*30 8.8 ОЦИНК DIN933</x:v>
      </x:c>
      <x:c r="D24" s="16" t="str">
        <x:v>Метизы специализированные и под заказ</x:v>
      </x:c>
      <x:c r="E24" s="16" t="str">
        <x:v>КГ</x:v>
      </x:c>
      <x:c r="F24" s="21" t="n">
        <x:v>3</x:v>
      </x:c>
      <x:c r="G24" s="17" t="n">
        <x:v>237.49739999999997</x:v>
      </x:c>
      <x:c r="H24" s="17" t="n">
        <x:f>G24*F24</x:f>
        <x:v>712.4921999999999</x:v>
      </x:c>
      <x:c r="I24" s="22" t="str">
        <x:f>HYPERLINK("https://etp-aktiv.ru/catalog/materialy/metizy/2000209385-Y112/","Открыть позицию")</x:f>
        <x:v>Открыть позицию</x:v>
      </x:c>
    </x:row>
    <x:row r="25" ht="28" customHeight="1">
      <x:c r="A25" s="16" t="str">
        <x:v>Новосибирская ТЭЦ-3</x:v>
      </x:c>
      <x:c r="B25" s="16" t="str">
        <x:v>2000529958-Y112</x:v>
      </x:c>
      <x:c r="C25" s="16" t="str">
        <x:v>БОЛТ М12*40 ОЦ ГОСТ7798-70</x:v>
      </x:c>
      <x:c r="D25" s="16" t="str">
        <x:v>Метизы</x:v>
      </x:c>
      <x:c r="E25" s="16" t="str">
        <x:v>КГ</x:v>
      </x:c>
      <x:c r="F25" s="30" t="n">
        <x:v>82.756</x:v>
      </x:c>
      <x:c r="G25" s="17" t="n">
        <x:v>203.39839999999998</x:v>
      </x:c>
      <x:c r="H25" s="17" t="n">
        <x:f>G25*F25</x:f>
        <x:v>16832.437990399998</x:v>
      </x:c>
      <x:c r="I25" s="22" t="str">
        <x:f>HYPERLINK("https://etp-aktiv.ru/catalog/materialy/metizy/2000529958-Y112/","Открыть позицию")</x:f>
        <x:v>Открыть позицию</x:v>
      </x:c>
    </x:row>
    <x:row r="26" ht="28" customHeight="1">
      <x:c r="A26" s="16" t="str">
        <x:v>Новосибирская ТЭЦ-3</x:v>
      </x:c>
      <x:c r="B26" s="16" t="str">
        <x:v>2000142906-Y112</x:v>
      </x:c>
      <x:c r="C26" s="16" t="str">
        <x:v>БОЛТ М12*80 ГОСТ7798-70</x:v>
      </x:c>
      <x:c r="D26" s="16" t="str">
        <x:v>Метизы</x:v>
      </x:c>
      <x:c r="E26" s="16" t="str">
        <x:v>КГ</x:v>
      </x:c>
      <x:c r="F26" s="21" t="n">
        <x:v>10</x:v>
      </x:c>
      <x:c r="G26" s="17" t="n">
        <x:v>163.6996</x:v>
      </x:c>
      <x:c r="H26" s="17" t="n">
        <x:f>G26*F26</x:f>
        <x:v>1636.996</x:v>
      </x:c>
      <x:c r="I26" s="22" t="str">
        <x:f>HYPERLINK("https://etp-aktiv.ru/catalog/materialy/metizy/2000142906-Y112/","Открыть позицию")</x:f>
        <x:v>Открыть позицию</x:v>
      </x:c>
    </x:row>
    <x:row r="27" ht="28" customHeight="1">
      <x:c r="A27" s="16" t="str">
        <x:v>Новосибирская ТЭЦ-3</x:v>
      </x:c>
      <x:c r="B27" s="16" t="str">
        <x:v>2000529966-Y112</x:v>
      </x:c>
      <x:c r="C27" s="16" t="str">
        <x:v>БОЛТ М16-6G*50.109 СТ20 ОЦ ГОСТ7798-70</x:v>
      </x:c>
      <x:c r="D27" s="16" t="str">
        <x:v>Метизы</x:v>
      </x:c>
      <x:c r="E27" s="16" t="str">
        <x:v>КГ</x:v>
      </x:c>
      <x:c r="F27" s="30" t="n">
        <x:v>8.5</x:v>
      </x:c>
      <x:c r="G27" s="17" t="n">
        <x:v>140.69039999999998</x:v>
      </x:c>
      <x:c r="H27" s="17" t="n">
        <x:f>G27*F27</x:f>
        <x:v>1195.8683999999998</x:v>
      </x:c>
      <x:c r="I27" s="22" t="str">
        <x:f>HYPERLINK("https://etp-aktiv.ru/catalog/materialy/metizy/2000529966-Y112/","Открыть позицию")</x:f>
        <x:v>Открыть позицию</x:v>
      </x:c>
    </x:row>
    <x:row r="28" ht="28" customHeight="1">
      <x:c r="A28" s="16" t="str">
        <x:v>Новосибирская ТЭЦ-3</x:v>
      </x:c>
      <x:c r="B28" s="16" t="str">
        <x:v>2000142911-Y112</x:v>
      </x:c>
      <x:c r="C28" s="16" t="str">
        <x:v>БОЛТ М18*110 ГОСТ7798-70</x:v>
      </x:c>
      <x:c r="D28" s="16" t="str">
        <x:v>Метизы</x:v>
      </x:c>
      <x:c r="E28" s="16" t="str">
        <x:v>КГ</x:v>
      </x:c>
      <x:c r="F28" s="30" t="n">
        <x:v>15.35</x:v>
      </x:c>
      <x:c r="G28" s="17" t="n">
        <x:v>148.7302</x:v>
      </x:c>
      <x:c r="H28" s="17" t="n">
        <x:f>G28*F28</x:f>
        <x:v>2283.00857</x:v>
      </x:c>
      <x:c r="I28" s="22" t="str">
        <x:f>HYPERLINK("https://etp-aktiv.ru/catalog/materialy/metizy/2000142911-Y112/","Открыть позицию")</x:f>
        <x:v>Открыть позицию</x:v>
      </x:c>
    </x:row>
    <x:row r="29" ht="28" customHeight="1">
      <x:c r="A29" s="16" t="str">
        <x:v>Новосибирская ТЭЦ-3</x:v>
      </x:c>
      <x:c r="B29" s="16" t="str">
        <x:v>2000142930-Y112</x:v>
      </x:c>
      <x:c r="C29" s="16" t="str">
        <x:v>БОЛТ М6*60 ГОСТ7798-70</x:v>
      </x:c>
      <x:c r="D29" s="16" t="str">
        <x:v>Метизы</x:v>
      </x:c>
      <x:c r="E29" s="16" t="str">
        <x:v>КГ</x:v>
      </x:c>
      <x:c r="F29" s="21" t="n">
        <x:v>10</x:v>
      </x:c>
      <x:c r="G29" s="17" t="n">
        <x:v>158.6488</x:v>
      </x:c>
      <x:c r="H29" s="17" t="n">
        <x:f>G29*F29</x:f>
        <x:v>1586.4879999999998</x:v>
      </x:c>
      <x:c r="I29" s="22" t="str">
        <x:f>HYPERLINK("https://etp-aktiv.ru/catalog/materialy/metizy/2000142930-Y112/","Открыть позицию")</x:f>
        <x:v>Открыть позицию</x:v>
      </x:c>
    </x:row>
    <x:row r="30" ht="28" customHeight="1">
      <x:c r="A30" s="16" t="str">
        <x:v>Новосибирская ТЭЦ-3</x:v>
      </x:c>
      <x:c r="B30" s="16" t="str">
        <x:v>2000153588-Y112</x:v>
      </x:c>
      <x:c r="C30" s="16" t="str">
        <x:v>ВИНТ М5*16 ГОСТ1491-80</x:v>
      </x:c>
      <x:c r="D30" s="16" t="str">
        <x:v>Метизы специализированные и под заказ</x:v>
      </x:c>
      <x:c r="E30" s="16" t="str">
        <x:v>ШТ</x:v>
      </x:c>
      <x:c r="F30" s="21" t="n">
        <x:v>56</x:v>
      </x:c>
      <x:c r="G30" s="17" t="n">
        <x:v>21.337799999999998</x:v>
      </x:c>
      <x:c r="H30" s="17" t="n">
        <x:f>G30*F30</x:f>
        <x:v>1194.9168</x:v>
      </x:c>
      <x:c r="I30" s="22" t="str">
        <x:f>HYPERLINK("https://etp-aktiv.ru/catalog/materialy/metizy/2000153588-Y112/","Открыть позицию")</x:f>
        <x:v>Открыть позицию</x:v>
      </x:c>
    </x:row>
    <x:row r="31" ht="28" customHeight="1">
      <x:c r="A31" s="16" t="str">
        <x:v>Новосибирская ТЭЦ-3</x:v>
      </x:c>
      <x:c r="B31" s="16" t="str">
        <x:v>2000555681-Y112</x:v>
      </x:c>
      <x:c r="C31" s="16" t="str">
        <x:v>ДВУТАВР СТ3 20 ГОСТ8239-89</x:v>
      </x:c>
      <x:c r="D31" s="16" t="str">
        <x:v>Металлопрокат черный</x:v>
      </x:c>
      <x:c r="E31" s="16" t="str">
        <x:v>Т</x:v>
      </x:c>
      <x:c r="F31" s="29" t="n">
        <x:v>0.124</x:v>
      </x:c>
      <x:c r="G31" s="17" t="n">
        <x:v>117822.0002</x:v>
      </x:c>
      <x:c r="H31" s="17" t="n">
        <x:f>G31*F31</x:f>
        <x:v>14609.9280248</x:v>
      </x:c>
      <x:c r="I31" s="22" t="str">
        <x:f>HYPERLINK("https://etp-aktiv.ru/catalog/materialy/metalloprodukciya/2000555681-Y112/","Открыть позицию")</x:f>
        <x:v>Открыть позицию</x:v>
      </x:c>
    </x:row>
    <x:row r="32" ht="28" customHeight="1">
      <x:c r="A32" s="16" t="str">
        <x:v>Новосибирская ТЭЦ-3</x:v>
      </x:c>
      <x:c r="B32" s="16" t="str">
        <x:v>2000555761-Y112</x:v>
      </x:c>
      <x:c r="C32" s="16" t="str">
        <x:v>КРУГ СТ20 D130ММ ГОСТ2590-2006</x:v>
      </x:c>
      <x:c r="D32" s="16" t="str">
        <x:v>Металлопрокат черный</x:v>
      </x:c>
      <x:c r="E32" s="16" t="str">
        <x:v>Т</x:v>
      </x:c>
      <x:c r="F32" s="29" t="n">
        <x:v>0.016</x:v>
      </x:c>
      <x:c r="G32" s="17" t="n">
        <x:v>85550.792</x:v>
      </x:c>
      <x:c r="H32" s="17" t="n">
        <x:f>G32*F32</x:f>
        <x:v>1368.812672</x:v>
      </x:c>
      <x:c r="I32" s="22" t="str">
        <x:f>HYPERLINK("https://etp-aktiv.ru/catalog/materialy/metalloprodukciya/2000555761-Y112/","Открыть позицию")</x:f>
        <x:v>Открыть позицию</x:v>
      </x:c>
    </x:row>
    <x:row r="33" ht="28" customHeight="1">
      <x:c r="A33" s="16" t="str">
        <x:v>Новосибирская ТЭЦ-3</x:v>
      </x:c>
      <x:c r="B33" s="16" t="str">
        <x:v>2000028682-Y112</x:v>
      </x:c>
      <x:c r="C33" s="16" t="str">
        <x:v>КРУГ СТ20 D150ММ ГОСТ1050-88</x:v>
      </x:c>
      <x:c r="D33" s="16" t="str">
        <x:v>Металлопрокат черный</x:v>
      </x:c>
      <x:c r="E33" s="16" t="str">
        <x:v>Т</x:v>
      </x:c>
      <x:c r="F33" s="29" t="n">
        <x:v>0.713</x:v>
      </x:c>
      <x:c r="G33" s="17" t="n">
        <x:v>72634.042</x:v>
      </x:c>
      <x:c r="H33" s="17" t="n">
        <x:f>G33*F33</x:f>
        <x:v>51788.071946</x:v>
      </x:c>
      <x:c r="I33" s="22" t="str">
        <x:f>HYPERLINK("https://etp-aktiv.ru/catalog/materialy/metalloprodukciya/2000028682-Y112/","Открыть позицию")</x:f>
        <x:v>Открыть позицию</x:v>
      </x:c>
    </x:row>
    <x:row r="34" ht="28" customHeight="1">
      <x:c r="A34" s="16" t="str">
        <x:v>Новосибирская ТЭЦ-3</x:v>
      </x:c>
      <x:c r="B34" s="16" t="str">
        <x:v>2000555792-Y112</x:v>
      </x:c>
      <x:c r="C34" s="16" t="str">
        <x:v>КРУГ СТ20 D250ММ ГОСТ2590-2006</x:v>
      </x:c>
      <x:c r="D34" s="16" t="str">
        <x:v>Металлопрокат черный</x:v>
      </x:c>
      <x:c r="E34" s="16" t="str">
        <x:v>Т</x:v>
      </x:c>
      <x:c r="F34" s="29" t="n">
        <x:v>0.25</x:v>
      </x:c>
      <x:c r="G34" s="17" t="n">
        <x:v>130926.6302</x:v>
      </x:c>
      <x:c r="H34" s="17" t="n">
        <x:f>G34*F34</x:f>
        <x:v>32731.65755</x:v>
      </x:c>
      <x:c r="I34" s="22" t="str">
        <x:f>HYPERLINK("https://etp-aktiv.ru/catalog/materialy/metalloprodukciya/2000555792-Y112/","Открыть позицию")</x:f>
        <x:v>Открыть позицию</x:v>
      </x:c>
    </x:row>
    <x:row r="35" ht="28" customHeight="1">
      <x:c r="A35" s="16" t="str">
        <x:v>Новосибирская ТЭЦ-3</x:v>
      </x:c>
      <x:c r="B35" s="16" t="str">
        <x:v>2000014876-Y112</x:v>
      </x:c>
      <x:c r="C35" s="16" t="str">
        <x:v>КРУГ СТ3 D100ММ ГОСТ2590-2006</x:v>
      </x:c>
      <x:c r="D35" s="16" t="str">
        <x:v>Металлопрокат черный</x:v>
      </x:c>
      <x:c r="E35" s="16" t="str">
        <x:v>Т</x:v>
      </x:c>
      <x:c r="F35" s="29" t="n">
        <x:v>0.03</x:v>
      </x:c>
      <x:c r="G35" s="17" t="n">
        <x:v>76409.20999999999</x:v>
      </x:c>
      <x:c r="H35" s="17" t="n">
        <x:f>G35*F35</x:f>
        <x:v>2292.2762999999995</x:v>
      </x:c>
      <x:c r="I35" s="22" t="str">
        <x:f>HYPERLINK("https://etp-aktiv.ru/catalog/materialy/metalloprodukciya/2000014876-Y112/","Открыть позицию")</x:f>
        <x:v>Открыть позицию</x:v>
      </x:c>
    </x:row>
    <x:row r="36" ht="28" customHeight="1">
      <x:c r="A36" s="16" t="str">
        <x:v>Новосибирская ТЭЦ-3</x:v>
      </x:c>
      <x:c r="B36" s="16" t="str">
        <x:v>2000014878-Y112</x:v>
      </x:c>
      <x:c r="C36" s="16" t="str">
        <x:v>КРУГ СТ3 D120ММ ГОСТ2590-2006</x:v>
      </x:c>
      <x:c r="D36" s="16" t="str">
        <x:v>Металлопрокат черный</x:v>
      </x:c>
      <x:c r="E36" s="16" t="str">
        <x:v>Т</x:v>
      </x:c>
      <x:c r="F36" s="29" t="n">
        <x:v>0.836</x:v>
      </x:c>
      <x:c r="G36" s="17" t="n">
        <x:v>68819.6876</x:v>
      </x:c>
      <x:c r="H36" s="17" t="n">
        <x:f>G36*F36</x:f>
        <x:v>57533.258833600004</x:v>
      </x:c>
      <x:c r="I36" s="22" t="str">
        <x:f>HYPERLINK("https://etp-aktiv.ru/catalog/materialy/metalloprodukciya/2000014878-Y112/","Открыть позицию")</x:f>
        <x:v>Открыть позицию</x:v>
      </x:c>
    </x:row>
    <x:row r="37" ht="28" customHeight="1">
      <x:c r="A37" s="16" t="str">
        <x:v>Новосибирская ТЭЦ-3</x:v>
      </x:c>
      <x:c r="B37" s="16" t="str">
        <x:v>2000014879-Y112</x:v>
      </x:c>
      <x:c r="C37" s="16" t="str">
        <x:v>КРУГ СТ3 D140ММ ГОСТ2590-2006</x:v>
      </x:c>
      <x:c r="D37" s="16" t="str">
        <x:v>Металлопрокат черный</x:v>
      </x:c>
      <x:c r="E37" s="16" t="str">
        <x:v>Т</x:v>
      </x:c>
      <x:c r="F37" s="29" t="n">
        <x:v>0.704</x:v>
      </x:c>
      <x:c r="G37" s="17" t="n">
        <x:v>74496.4574</x:v>
      </x:c>
      <x:c r="H37" s="17" t="n">
        <x:f>G37*F37</x:f>
        <x:v>52445.506009599994</x:v>
      </x:c>
      <x:c r="I37" s="22" t="str">
        <x:f>HYPERLINK("https://etp-aktiv.ru/catalog/materialy/metalloprodukciya/2000014879-Y112/","Открыть позицию")</x:f>
        <x:v>Открыть позицию</x:v>
      </x:c>
    </x:row>
    <x:row r="38" ht="28" customHeight="1">
      <x:c r="A38" s="16" t="str">
        <x:v>Новосибирская ТЭЦ-3</x:v>
      </x:c>
      <x:c r="B38" s="16" t="str">
        <x:v>2000014882-Y112</x:v>
      </x:c>
      <x:c r="C38" s="16" t="str">
        <x:v>КРУГ СТ3 D170ММ ГОСТ2590-2006</x:v>
      </x:c>
      <x:c r="D38" s="16" t="str">
        <x:v>Металлопрокат черный</x:v>
      </x:c>
      <x:c r="E38" s="16" t="str">
        <x:v>Т</x:v>
      </x:c>
      <x:c r="F38" s="30" t="n">
        <x:v>1.041</x:v>
      </x:c>
      <x:c r="G38" s="17" t="n">
        <x:v>73751.4888</x:v>
      </x:c>
      <x:c r="H38" s="17" t="n">
        <x:f>G38*F38</x:f>
        <x:v>76775.2998408</x:v>
      </x:c>
      <x:c r="I38" s="22" t="str">
        <x:f>HYPERLINK("https://etp-aktiv.ru/catalog/materialy/metalloprodukciya/2000014882-Y112/","Открыть позицию")</x:f>
        <x:v>Открыть позицию</x:v>
      </x:c>
    </x:row>
    <x:row r="39" ht="28" customHeight="1">
      <x:c r="A39" s="16" t="str">
        <x:v>Новосибирская ТЭЦ-3</x:v>
      </x:c>
      <x:c r="B39" s="16" t="str">
        <x:v>2000028694-Y112</x:v>
      </x:c>
      <x:c r="C39" s="16" t="str">
        <x:v>КРУГ СТ3 D250ММ ГОСТ2590-88</x:v>
      </x:c>
      <x:c r="D39" s="16" t="str">
        <x:v>Металлопрокат черный</x:v>
      </x:c>
      <x:c r="E39" s="16" t="str">
        <x:v>Т</x:v>
      </x:c>
      <x:c r="F39" s="29" t="n">
        <x:v>0.16</x:v>
      </x:c>
      <x:c r="G39" s="17" t="n">
        <x:v>105513.34700000001</x:v>
      </x:c>
      <x:c r="H39" s="17" t="n">
        <x:f>G39*F39</x:f>
        <x:v>16882.135520000003</x:v>
      </x:c>
      <x:c r="I39" s="22" t="str">
        <x:f>HYPERLINK("https://etp-aktiv.ru/catalog/materialy/metalloprodukciya/2000028694-Y112/","Открыть позицию")</x:f>
        <x:v>Открыть позицию</x:v>
      </x:c>
    </x:row>
    <x:row r="40" ht="28" customHeight="1">
      <x:c r="A40" s="16" t="str">
        <x:v>Новосибирская ТЭЦ-3</x:v>
      </x:c>
      <x:c r="B40" s="16" t="str">
        <x:v>2000169441-Y112</x:v>
      </x:c>
      <x:c r="C40" s="16" t="str">
        <x:v>КРУГ СТ3 D300ММ ГОСТ2590-2006</x:v>
      </x:c>
      <x:c r="D40" s="16" t="str">
        <x:v>Металлопрокат черный</x:v>
      </x:c>
      <x:c r="E40" s="16" t="str">
        <x:v>Т</x:v>
      </x:c>
      <x:c r="F40" s="29" t="n">
        <x:v>0.064</x:v>
      </x:c>
      <x:c r="G40" s="17" t="n">
        <x:v>123042.4534</x:v>
      </x:c>
      <x:c r="H40" s="17" t="n">
        <x:f>G40*F40</x:f>
        <x:v>7874.7170176</x:v>
      </x:c>
      <x:c r="I40" s="22" t="str">
        <x:f>HYPERLINK("https://etp-aktiv.ru/catalog/materialy/metalloprodukciya/2000169441-Y112/","Открыть позицию")</x:f>
        <x:v>Открыть позицию</x:v>
      </x:c>
    </x:row>
    <x:row r="41" ht="28" customHeight="1">
      <x:c r="A41" s="16" t="str">
        <x:v>Новосибирская ТЭЦ-3</x:v>
      </x:c>
      <x:c r="B41" s="16" t="str">
        <x:v>2000142439-Y112</x:v>
      </x:c>
      <x:c r="C41" s="16" t="str">
        <x:v>КРУГ СТ35 D30ММ ГОСТ1050-88</x:v>
      </x:c>
      <x:c r="D41" s="16" t="str">
        <x:v>Металлопрокат черный</x:v>
      </x:c>
      <x:c r="E41" s="16" t="str">
        <x:v>Т</x:v>
      </x:c>
      <x:c r="F41" s="29" t="n">
        <x:v>0.063</x:v>
      </x:c>
      <x:c r="G41" s="17" t="n">
        <x:v>87284.43639999999</x:v>
      </x:c>
      <x:c r="H41" s="17" t="n">
        <x:f>G41*F41</x:f>
        <x:v>5498.919493199999</x:v>
      </x:c>
      <x:c r="I41" s="22" t="str">
        <x:f>HYPERLINK("https://etp-aktiv.ru/catalog/materialy/metalloprodukciya/2000142439-Y112/","Открыть позицию")</x:f>
        <x:v>Открыть позицию</x:v>
      </x:c>
    </x:row>
    <x:row r="42" ht="28" customHeight="1">
      <x:c r="A42" s="16" t="str">
        <x:v>Новосибирская ТЭЦ-3</x:v>
      </x:c>
      <x:c r="B42" s="16" t="str">
        <x:v>2000555814-Y112</x:v>
      </x:c>
      <x:c r="C42" s="16" t="str">
        <x:v>КРУГ СТ35 D50ММ ГОСТ2590-2006</x:v>
      </x:c>
      <x:c r="D42" s="16" t="str">
        <x:v>Металлопрокат черный</x:v>
      </x:c>
      <x:c r="E42" s="16" t="str">
        <x:v>Т</x:v>
      </x:c>
      <x:c r="F42" s="29" t="n">
        <x:v>0.092</x:v>
      </x:c>
      <x:c r="G42" s="17" t="n">
        <x:v>76136.00319999999</x:v>
      </x:c>
      <x:c r="H42" s="17" t="n">
        <x:f>G42*F42</x:f>
        <x:v>7004.5122943999995</x:v>
      </x:c>
      <x:c r="I42" s="22" t="str">
        <x:f>HYPERLINK("https://etp-aktiv.ru/catalog/materialy/metalloprodukciya/2000555814-Y112/","Открыть позицию")</x:f>
        <x:v>Открыть позицию</x:v>
      </x:c>
    </x:row>
    <x:row r="43" ht="28" customHeight="1">
      <x:c r="A43" s="16" t="str">
        <x:v>Новосибирская ТЭЦ-3</x:v>
      </x:c>
      <x:c r="B43" s="16" t="str">
        <x:v>2000217279-Y112</x:v>
      </x:c>
      <x:c r="C43" s="16" t="str">
        <x:v>КРУГ СТ35 D70ММ ГОСТ1050-88</x:v>
      </x:c>
      <x:c r="D43" s="16" t="str">
        <x:v>Металлопрокат черный</x:v>
      </x:c>
      <x:c r="E43" s="16" t="str">
        <x:v>Т</x:v>
      </x:c>
      <x:c r="F43" s="29" t="n">
        <x:v>0.164</x:v>
      </x:c>
      <x:c r="G43" s="17" t="n">
        <x:v>64599</x:v>
      </x:c>
      <x:c r="H43" s="17" t="n">
        <x:f>G43*F43</x:f>
        <x:v>10594.236</x:v>
      </x:c>
      <x:c r="I43" s="22" t="str">
        <x:f>HYPERLINK("https://etp-aktiv.ru/catalog/materialy/metalloprodukciya/2000217279-Y112/","Открыть позицию")</x:f>
        <x:v>Открыть позицию</x:v>
      </x:c>
    </x:row>
    <x:row r="44" ht="28" customHeight="1">
      <x:c r="A44" s="16" t="str">
        <x:v>Новосибирская ТЭЦ-3</x:v>
      </x:c>
      <x:c r="B44" s="16" t="str">
        <x:v>2000504183-Y112</x:v>
      </x:c>
      <x:c r="C44" s="16" t="str">
        <x:v>КРУГ СТ40 60ММ ГОСТ2590-88</x:v>
      </x:c>
      <x:c r="D44" s="16" t="str">
        <x:v>Металлопрокат черный</x:v>
      </x:c>
      <x:c r="E44" s="16" t="str">
        <x:v>Т</x:v>
      </x:c>
      <x:c r="F44" s="29" t="n">
        <x:v>0.104</x:v>
      </x:c>
      <x:c r="G44" s="17" t="n">
        <x:v>157393.5176</x:v>
      </x:c>
      <x:c r="H44" s="17" t="n">
        <x:f>G44*F44</x:f>
        <x:v>16368.925830399998</x:v>
      </x:c>
      <x:c r="I44" s="22" t="str">
        <x:f>HYPERLINK("https://etp-aktiv.ru/catalog/materialy/metalloprodukciya/2000504183-Y112/","Открыть позицию")</x:f>
        <x:v>Открыть позицию</x:v>
      </x:c>
    </x:row>
    <x:row r="45" ht="28" customHeight="1">
      <x:c r="A45" s="16" t="str">
        <x:v>Новосибирская ТЭЦ-3</x:v>
      </x:c>
      <x:c r="B45" s="16" t="str">
        <x:v>2000015118-Y112</x:v>
      </x:c>
      <x:c r="C45" s="16" t="str">
        <x:v>КРУГ СТ40Х D200ММ ГОСТ4543-71</x:v>
      </x:c>
      <x:c r="D45" s="16" t="str">
        <x:v>Металлопрокат черный</x:v>
      </x:c>
      <x:c r="E45" s="16" t="str">
        <x:v>Т</x:v>
      </x:c>
      <x:c r="F45" s="29" t="n">
        <x:v>0.026</x:v>
      </x:c>
      <x:c r="G45" s="17" t="n">
        <x:v>99069.8682</x:v>
      </x:c>
      <x:c r="H45" s="17" t="n">
        <x:f>G45*F45</x:f>
        <x:v>2575.8165731999998</x:v>
      </x:c>
      <x:c r="I45" s="22" t="str">
        <x:f>HYPERLINK("https://etp-aktiv.ru/catalog/materialy/metalloprodukciya/2000015118-Y112/","Открыть позицию")</x:f>
        <x:v>Открыть позицию</x:v>
      </x:c>
    </x:row>
    <x:row r="46" ht="28" customHeight="1">
      <x:c r="A46" s="16" t="str">
        <x:v>Новосибирская ТЭЦ-3</x:v>
      </x:c>
      <x:c r="B46" s="16" t="str">
        <x:v>2000555790-Y112</x:v>
      </x:c>
      <x:c r="C46" s="16" t="str">
        <x:v>КРУГ СТ40Х D240ММ ГОСТ2590-2006</x:v>
      </x:c>
      <x:c r="D46" s="16" t="str">
        <x:v>Металлопрокат черный</x:v>
      </x:c>
      <x:c r="E46" s="16" t="str">
        <x:v>Т</x:v>
      </x:c>
      <x:c r="F46" s="29" t="n">
        <x:v>0.99</x:v>
      </x:c>
      <x:c r="G46" s="17" t="n">
        <x:v>98223.57860000001</x:v>
      </x:c>
      <x:c r="H46" s="17" t="n">
        <x:f>G46*F46</x:f>
        <x:v>97241.342814</x:v>
      </x:c>
      <x:c r="I46" s="22" t="str">
        <x:f>HYPERLINK("https://etp-aktiv.ru/catalog/materialy/metalloprodukciya/2000555790-Y112/","Открыть позицию")</x:f>
        <x:v>Открыть позицию</x:v>
      </x:c>
    </x:row>
    <x:row r="47" ht="28" customHeight="1">
      <x:c r="A47" s="16" t="str">
        <x:v>Новосибирская ТЭЦ-3</x:v>
      </x:c>
      <x:c r="B47" s="16" t="str">
        <x:v>2000555795-Y112</x:v>
      </x:c>
      <x:c r="C47" s="16" t="str">
        <x:v>КРУГ СТ40Х D280ММ ГОСТ4543-2016</x:v>
      </x:c>
      <x:c r="D47" s="16" t="str">
        <x:v>Металлопрокат черный</x:v>
      </x:c>
      <x:c r="E47" s="16" t="str">
        <x:v>Т</x:v>
      </x:c>
      <x:c r="F47" s="29" t="n">
        <x:v>0.104</x:v>
      </x:c>
      <x:c r="G47" s="17" t="n">
        <x:v>127498.72299999998</x:v>
      </x:c>
      <x:c r="H47" s="17" t="n">
        <x:f>G47*F47</x:f>
        <x:v>13259.867191999998</x:v>
      </x:c>
      <x:c r="I47" s="22" t="str">
        <x:f>HYPERLINK("https://etp-aktiv.ru/catalog/materialy/metalloprodukciya/2000555795-Y112/","Открыть позицию")</x:f>
        <x:v>Открыть позицию</x:v>
      </x:c>
    </x:row>
    <x:row r="48" ht="28" customHeight="1">
      <x:c r="A48" s="16" t="str">
        <x:v>Новосибирская ТЭЦ-3</x:v>
      </x:c>
      <x:c r="B48" s="16" t="str">
        <x:v>2000015056-Y112</x:v>
      </x:c>
      <x:c r="C48" s="16" t="str">
        <x:v>КРУГ СТ40Х D40ММ ГОСТ4543-71</x:v>
      </x:c>
      <x:c r="D48" s="16" t="str">
        <x:v>Металлопрокат черный</x:v>
      </x:c>
      <x:c r="E48" s="16" t="str">
        <x:v>Т</x:v>
      </x:c>
      <x:c r="F48" s="29" t="n">
        <x:v>0.489</x:v>
      </x:c>
      <x:c r="G48" s="17" t="n">
        <x:v>70787.74279999999</x:v>
      </x:c>
      <x:c r="H48" s="17" t="n">
        <x:f>G48*F48</x:f>
        <x:v>34615.2062292</x:v>
      </x:c>
      <x:c r="I48" s="22" t="str">
        <x:f>HYPERLINK("https://etp-aktiv.ru/catalog/materialy/metalloprodukciya/2000015056-Y112/","Открыть позицию")</x:f>
        <x:v>Открыть позицию</x:v>
      </x:c>
    </x:row>
    <x:row r="49" ht="28" customHeight="1">
      <x:c r="A49" s="16" t="str">
        <x:v>Новосибирская ТЭЦ-3</x:v>
      </x:c>
      <x:c r="B49" s="16" t="str">
        <x:v>2000147431-Y112</x:v>
      </x:c>
      <x:c r="C49" s="16" t="str">
        <x:v>КРУГ СТ40Х D60ММ ГОСТ2590-2006</x:v>
      </x:c>
      <x:c r="D49" s="16" t="str">
        <x:v>Металлопрокат черный</x:v>
      </x:c>
      <x:c r="E49" s="16" t="str">
        <x:v>Т</x:v>
      </x:c>
      <x:c r="F49" s="29" t="n">
        <x:v>0.115</x:v>
      </x:c>
      <x:c r="G49" s="17" t="n">
        <x:v>75981.6976</x:v>
      </x:c>
      <x:c r="H49" s="17" t="n">
        <x:f>G49*F49</x:f>
        <x:v>8737.895224</x:v>
      </x:c>
      <x:c r="I49" s="22" t="str">
        <x:f>HYPERLINK("https://etp-aktiv.ru/catalog/materialy/metalloprodukciya/2000147431-Y112/","Открыть позицию")</x:f>
        <x:v>Открыть позицию</x:v>
      </x:c>
    </x:row>
    <x:row r="50" ht="28" customHeight="1">
      <x:c r="A50" s="16" t="str">
        <x:v>Новосибирская ТЭЦ-3</x:v>
      </x:c>
      <x:c r="B50" s="16" t="str">
        <x:v>2000014957-Y112</x:v>
      </x:c>
      <x:c r="C50" s="16" t="str">
        <x:v>КРУГ СТ45 D170ММ ГОСТ1050-88</x:v>
      </x:c>
      <x:c r="D50" s="16" t="str">
        <x:v>Металлопрокат черный</x:v>
      </x:c>
      <x:c r="E50" s="16" t="str">
        <x:v>Т</x:v>
      </x:c>
      <x:c r="F50" s="29" t="n">
        <x:v>0.1</x:v>
      </x:c>
      <x:c r="G50" s="17" t="n">
        <x:v>118187.53659999999</x:v>
      </x:c>
      <x:c r="H50" s="17" t="n">
        <x:f>G50*F50</x:f>
        <x:v>11818.75366</x:v>
      </x:c>
      <x:c r="I50" s="22" t="str">
        <x:f>HYPERLINK("https://etp-aktiv.ru/catalog/materialy/metalloprodukciya/2000014957-Y112/","Открыть позицию")</x:f>
        <x:v>Открыть позицию</x:v>
      </x:c>
    </x:row>
    <x:row r="51" ht="28" customHeight="1">
      <x:c r="A51" s="16" t="str">
        <x:v>Новосибирская ТЭЦ-3</x:v>
      </x:c>
      <x:c r="B51" s="16" t="str">
        <x:v>2000555804-Y112</x:v>
      </x:c>
      <x:c r="C51" s="16" t="str">
        <x:v>КРУГ СТ45 D320ММ ГОСТ1050-2013</x:v>
      </x:c>
      <x:c r="D51" s="16" t="str">
        <x:v>Металлопрокат черный</x:v>
      </x:c>
      <x:c r="E51" s="16" t="str">
        <x:v>Т</x:v>
      </x:c>
      <x:c r="F51" s="29" t="n">
        <x:v>0.02</x:v>
      </x:c>
      <x:c r="G51" s="17" t="n">
        <x:v>135099.994</x:v>
      </x:c>
      <x:c r="H51" s="17" t="n">
        <x:f>G51*F51</x:f>
        <x:v>2701.9998800000003</x:v>
      </x:c>
      <x:c r="I51" s="22" t="str">
        <x:f>HYPERLINK("https://etp-aktiv.ru/catalog/materialy/metalloprodukciya/2000555804-Y112/","Открыть позицию")</x:f>
        <x:v>Открыть позицию</x:v>
      </x:c>
    </x:row>
    <x:row r="52" ht="28" customHeight="1">
      <x:c r="A52" s="16" t="str">
        <x:v>Новосибирская ТЭЦ-3</x:v>
      </x:c>
      <x:c r="B52" s="16" t="str">
        <x:v>2000114300-Y112</x:v>
      </x:c>
      <x:c r="C52" s="16" t="str">
        <x:v>КРУГ СТ45 D60ММ ГОСТ1050-88</x:v>
      </x:c>
      <x:c r="D52" s="16" t="str">
        <x:v>Металлопрокат черный</x:v>
      </x:c>
      <x:c r="E52" s="16" t="str">
        <x:v>Т</x:v>
      </x:c>
      <x:c r="F52" s="29" t="n">
        <x:v>0.13</x:v>
      </x:c>
      <x:c r="G52" s="17" t="n">
        <x:v>75688.6658</x:v>
      </x:c>
      <x:c r="H52" s="17" t="n">
        <x:f>G52*F52</x:f>
        <x:v>9839.526554</x:v>
      </x:c>
      <x:c r="I52" s="22" t="str">
        <x:f>HYPERLINK("https://etp-aktiv.ru/catalog/materialy/metalloprodukciya/2000114300-Y112/","Открыть позицию")</x:f>
        <x:v>Открыть позицию</x:v>
      </x:c>
    </x:row>
    <x:row r="53" ht="28" customHeight="1">
      <x:c r="A53" s="16" t="str">
        <x:v>Новосибирская ТЭЦ-3</x:v>
      </x:c>
      <x:c r="B53" s="16" t="str">
        <x:v>2000555850-Y112</x:v>
      </x:c>
      <x:c r="C53" s="16" t="str">
        <x:v>ЛЕНТА СТ3 0,7*20 ГОСТ3560-73</x:v>
      </x:c>
      <x:c r="D53" s="16" t="str">
        <x:v>Металлопрокат прочий</x:v>
      </x:c>
      <x:c r="E53" s="16" t="str">
        <x:v>Т</x:v>
      </x:c>
      <x:c r="F53" s="29" t="n">
        <x:v>0.027</x:v>
      </x:c>
      <x:c r="G53" s="17" t="n">
        <x:v>18300</x:v>
      </x:c>
      <x:c r="H53" s="17" t="n">
        <x:f>G53*F53</x:f>
        <x:v>494.1</x:v>
      </x:c>
      <x:c r="I53" s="22" t="str">
        <x:f>HYPERLINK("https://etp-aktiv.ru/catalog/materialy/metalloprodukciya/2000555850-Y112/","Открыть позицию")</x:f>
        <x:v>Открыть позицию</x:v>
      </x:c>
    </x:row>
    <x:row r="54" ht="28" customHeight="1">
      <x:c r="A54" s="16" t="str">
        <x:v>Новосибирская ТЭЦ-3</x:v>
      </x:c>
      <x:c r="B54" s="16" t="str">
        <x:v>2000015039-Y112</x:v>
      </x:c>
      <x:c r="C54" s="16" t="str">
        <x:v>ЛИСТ Г/К СТ3 6ММ ГОСТ14637-89</x:v>
      </x:c>
      <x:c r="D54" s="16" t="str">
        <x:v>Металлопрокат черный</x:v>
      </x:c>
      <x:c r="E54" s="16" t="str">
        <x:v>Т</x:v>
      </x:c>
      <x:c r="F54" s="29" t="n">
        <x:v>0.044</x:v>
      </x:c>
      <x:c r="G54" s="17" t="n">
        <x:v>97146.97739999999</x:v>
      </x:c>
      <x:c r="H54" s="17" t="n">
        <x:f>G54*F54</x:f>
        <x:v>4274.4670055999995</x:v>
      </x:c>
      <x:c r="I54" s="22" t="str">
        <x:f>HYPERLINK("https://etp-aktiv.ru/catalog/materialy/metalloprodukciya/2000015039-Y112/","Открыть позицию")</x:f>
        <x:v>Открыть позицию</x:v>
      </x:c>
    </x:row>
    <x:row r="55" ht="28" customHeight="1">
      <x:c r="A55" s="16" t="str">
        <x:v>Новосибирская ТЭЦ-3</x:v>
      </x:c>
      <x:c r="B55" s="16" t="str">
        <x:v>2000227881-Y112</x:v>
      </x:c>
      <x:c r="C55" s="16" t="str">
        <x:v>ЛИСТ ОЦ СТ3ПС5 0,7ММ ГОСТ14918-80</x:v>
      </x:c>
      <x:c r="D55" s="16" t="str">
        <x:v>Металлопрокат черный</x:v>
      </x:c>
      <x:c r="E55" s="16" t="str">
        <x:v>Т</x:v>
      </x:c>
      <x:c r="F55" s="29" t="n">
        <x:v>0.01</x:v>
      </x:c>
      <x:c r="G55" s="17" t="n">
        <x:v>93750.9</x:v>
      </x:c>
      <x:c r="H55" s="17" t="n">
        <x:f>G55*F55</x:f>
        <x:v>937.509</x:v>
      </x:c>
      <x:c r="I55" s="22" t="str">
        <x:f>HYPERLINK("https://etp-aktiv.ru/catalog/materialy/metalloprodukciya/2000227881-Y112/","Открыть позицию")</x:f>
        <x:v>Открыть позицию</x:v>
      </x:c>
    </x:row>
    <x:row r="56" ht="28" customHeight="1">
      <x:c r="A56" s="16" t="str">
        <x:v>Новосибирская ТЭЦ-3</x:v>
      </x:c>
      <x:c r="B56" s="16" t="str">
        <x:v>2000174826-Y112</x:v>
      </x:c>
      <x:c r="C56" s="16" t="str">
        <x:v>ЛИСТ СТ3ГПС 30ММ ГОСТ19903-74</x:v>
      </x:c>
      <x:c r="D56" s="16" t="str">
        <x:v>Металлопрокат черный</x:v>
      </x:c>
      <x:c r="E56" s="16" t="str">
        <x:v>Т</x:v>
      </x:c>
      <x:c r="F56" s="29" t="n">
        <x:v>0.18</x:v>
      </x:c>
      <x:c r="G56" s="17" t="n">
        <x:v>116662.5</x:v>
      </x:c>
      <x:c r="H56" s="17" t="n">
        <x:f>G56*F56</x:f>
        <x:v>20999.25</x:v>
      </x:c>
      <x:c r="I56" s="22" t="str">
        <x:f>HYPERLINK("https://etp-aktiv.ru/catalog/materialy/metalloprodukciya/2000174826-Y112/","Открыть позицию")</x:f>
        <x:v>Открыть позицию</x:v>
      </x:c>
    </x:row>
    <x:row r="57" ht="28" customHeight="1">
      <x:c r="A57" s="16" t="str">
        <x:v>Новосибирская ТЭЦ-3</x:v>
      </x:c>
      <x:c r="B57" s="16" t="str">
        <x:v>2000232875-Y112</x:v>
      </x:c>
      <x:c r="C57" s="16" t="str">
        <x:v>ЛИСТ Х/К СТ08КП 1ММ*1,25М*2,5М ГОСТ19904</x:v>
      </x:c>
      <x:c r="D57" s="16" t="str">
        <x:v>Металлопрокат черный</x:v>
      </x:c>
      <x:c r="E57" s="16" t="str">
        <x:v>Т</x:v>
      </x:c>
      <x:c r="F57" s="29" t="n">
        <x:v>0.014</x:v>
      </x:c>
      <x:c r="G57" s="17" t="n">
        <x:v>95699.99639999999</x:v>
      </x:c>
      <x:c r="H57" s="17" t="n">
        <x:f>G57*F57</x:f>
        <x:v>1339.7999495999998</x:v>
      </x:c>
      <x:c r="I57" s="22" t="str">
        <x:f>HYPERLINK("https://etp-aktiv.ru/catalog/materialy/metalloprodukciya/2000232875-Y112/","Открыть позицию")</x:f>
        <x:v>Открыть позицию</x:v>
      </x:c>
    </x:row>
    <x:row r="58" ht="28" customHeight="1">
      <x:c r="A58" s="16" t="str">
        <x:v>Новосибирская ТЭЦ-3</x:v>
      </x:c>
      <x:c r="B58" s="16" t="str">
        <x:v>2000151762-Y112</x:v>
      </x:c>
      <x:c r="C58" s="16" t="str">
        <x:v>ЛИСТ Х/К СТ3 1*1250*2500 ГОСТ16523-97</x:v>
      </x:c>
      <x:c r="D58" s="16" t="str">
        <x:v>Металлопрокат черный</x:v>
      </x:c>
      <x:c r="E58" s="16" t="str">
        <x:v>Т</x:v>
      </x:c>
      <x:c r="F58" s="29" t="n">
        <x:v>0.028</x:v>
      </x:c>
      <x:c r="G58" s="17" t="n">
        <x:v>115532.95079999999</x:v>
      </x:c>
      <x:c r="H58" s="17" t="n">
        <x:f>G58*F58</x:f>
        <x:v>3234.9226224</x:v>
      </x:c>
      <x:c r="I58" s="22" t="str">
        <x:f>HYPERLINK("https://etp-aktiv.ru/catalog/materialy/metalloprodukciya/2000151762-Y112/","Открыть позицию")</x:f>
        <x:v>Открыть позицию</x:v>
      </x:c>
    </x:row>
    <x:row r="59" ht="28" customHeight="1">
      <x:c r="A59" s="16" t="str">
        <x:v>Новосибирская ТЭЦ-3</x:v>
      </x:c>
      <x:c r="B59" s="16" t="str">
        <x:v>2000035786-Y112</x:v>
      </x:c>
      <x:c r="C59" s="16" t="str">
        <x:v>ПРОВОЛОКА D1,6ММ ГОСТ3282-74</x:v>
      </x:c>
      <x:c r="D59" s="16" t="str">
        <x:v>Метизы специализированные и под заказ</x:v>
      </x:c>
      <x:c r="E59" s="16" t="str">
        <x:v>Т</x:v>
      </x:c>
      <x:c r="F59" s="29" t="n">
        <x:v>0.068</x:v>
      </x:c>
      <x:c r="G59" s="17" t="n">
        <x:v>66375.25899999999</x:v>
      </x:c>
      <x:c r="H59" s="17" t="n">
        <x:f>G59*F59</x:f>
        <x:v>4513.517612</x:v>
      </x:c>
      <x:c r="I59" s="22" t="str">
        <x:f>HYPERLINK("https://etp-aktiv.ru/catalog/materialy/metizy/2000035786-Y112/","Открыть позицию")</x:f>
        <x:v>Открыть позицию</x:v>
      </x:c>
    </x:row>
    <x:row r="60" ht="28" customHeight="1">
      <x:c r="A60" s="16" t="str">
        <x:v>Новосибирская ТЭЦ-3</x:v>
      </x:c>
      <x:c r="B60" s="16" t="str">
        <x:v>2000546353-Y112</x:v>
      </x:c>
      <x:c r="C60" s="16" t="str">
        <x:v>ПРОВОЛОКА СВ04Х19Н11М3 D2ММ ГОСТ2246-70</x:v>
      </x:c>
      <x:c r="D60" s="16" t="str">
        <x:v>Сварочные электроды</x:v>
      </x:c>
      <x:c r="E60" s="16" t="str">
        <x:v>КГ</x:v>
      </x:c>
      <x:c r="F60" s="30" t="n">
        <x:v>20.364</x:v>
      </x:c>
      <x:c r="G60" s="17" t="n">
        <x:v>578.3775999999999</x:v>
      </x:c>
      <x:c r="H60" s="17" t="n">
        <x:f>G60*F60</x:f>
        <x:v>11778.0814464</x:v>
      </x:c>
      <x:c r="I60" s="22" t="str">
        <x:f>HYPERLINK("https://etp-aktiv.ru/catalog/materialy/svarochnye-ehlektrody/2000546353-Y112/","Открыть позицию")</x:f>
        <x:v>Открыть позицию</x:v>
      </x:c>
    </x:row>
    <x:row r="61" ht="28" customHeight="1">
      <x:c r="A61" s="16" t="str">
        <x:v>Новосибирская ТЭЦ-3</x:v>
      </x:c>
      <x:c r="B61" s="16" t="str">
        <x:v>2000546357-Y112</x:v>
      </x:c>
      <x:c r="C61" s="16" t="str">
        <x:v>ПРОВОЛОКА СВ08Г2-О D2ММ ГОСТ2246-70</x:v>
      </x:c>
      <x:c r="D61" s="16" t="str">
        <x:v>Сварочные электроды</x:v>
      </x:c>
      <x:c r="E61" s="16" t="str">
        <x:v>КГ</x:v>
      </x:c>
      <x:c r="F61" s="21" t="n">
        <x:v>18</x:v>
      </x:c>
      <x:c r="G61" s="17" t="n">
        <x:v>176.5096</x:v>
      </x:c>
      <x:c r="H61" s="17" t="n">
        <x:f>G61*F61</x:f>
        <x:v>3177.1728000000003</x:v>
      </x:c>
      <x:c r="I61" s="22" t="str">
        <x:f>HYPERLINK("https://etp-aktiv.ru/catalog/materialy/svarochnye-ehlektrody/2000546357-Y112/","Открыть позицию")</x:f>
        <x:v>Открыть позицию</x:v>
      </x:c>
    </x:row>
    <x:row r="62" ht="28" customHeight="1">
      <x:c r="A62" s="16" t="str">
        <x:v>Новосибирская ТЭЦ-3</x:v>
      </x:c>
      <x:c r="B62" s="16" t="str">
        <x:v>2000546349-Y112</x:v>
      </x:c>
      <x:c r="C62" s="16" t="str">
        <x:v>ПРОВОЛОКА СВ08Г2С D1,6ММ ГОСТ2246-70</x:v>
      </x:c>
      <x:c r="D62" s="16" t="str">
        <x:v>Сварочные электроды</x:v>
      </x:c>
      <x:c r="E62" s="16" t="str">
        <x:v>КГ</x:v>
      </x:c>
      <x:c r="F62" s="30" t="n">
        <x:v>57.35</x:v>
      </x:c>
      <x:c r="G62" s="17" t="n">
        <x:v>38.5032</x:v>
      </x:c>
      <x:c r="H62" s="17" t="n">
        <x:f>G62*F62</x:f>
        <x:v>2208.15852</x:v>
      </x:c>
      <x:c r="I62" s="22" t="str">
        <x:f>HYPERLINK("https://etp-aktiv.ru/catalog/materialy/svarochnye-ehlektrody/2000546349-Y112/","Открыть позицию")</x:f>
        <x:v>Открыть позицию</x:v>
      </x:c>
    </x:row>
    <x:row r="63" ht="28" customHeight="1">
      <x:c r="A63" s="16" t="str">
        <x:v>Новосибирская ТЭЦ-3</x:v>
      </x:c>
      <x:c r="B63" s="16" t="str">
        <x:v>2000546346-Y112</x:v>
      </x:c>
      <x:c r="C63" s="16" t="str">
        <x:v>ПРОВОЛОКА СВ08ХГСМФА-О D1,2 ГОСТ2246-70</x:v>
      </x:c>
      <x:c r="D63" s="16" t="str">
        <x:v>Сварочные электроды</x:v>
      </x:c>
      <x:c r="E63" s="16" t="str">
        <x:v>КГ</x:v>
      </x:c>
      <x:c r="F63" s="21" t="n">
        <x:v>90</x:v>
      </x:c>
      <x:c r="G63" s="17" t="n">
        <x:v>131.9064</x:v>
      </x:c>
      <x:c r="H63" s="17" t="n">
        <x:f>G63*F63</x:f>
        <x:v>11871.576</x:v>
      </x:c>
      <x:c r="I63" s="22" t="str">
        <x:f>HYPERLINK("https://etp-aktiv.ru/catalog/materialy/svarochnye-ehlektrody/2000546346-Y112/","Открыть позицию")</x:f>
        <x:v>Открыть позицию</x:v>
      </x:c>
    </x:row>
    <x:row r="64" ht="28" customHeight="1">
      <x:c r="A64" s="16" t="str">
        <x:v>Новосибирская ТЭЦ-3</x:v>
      </x:c>
      <x:c r="B64" s="16" t="str">
        <x:v>2000546361-Y112</x:v>
      </x:c>
      <x:c r="C64" s="16" t="str">
        <x:v>ПРОВОЛОКА СВ08ХМФА D2ММ ГОСТ2246-70</x:v>
      </x:c>
      <x:c r="D64" s="16" t="str">
        <x:v>Сварочные электроды</x:v>
      </x:c>
      <x:c r="E64" s="16" t="str">
        <x:v>КГ</x:v>
      </x:c>
      <x:c r="F64" s="30" t="n">
        <x:v>51.152</x:v>
      </x:c>
      <x:c r="G64" s="17" t="n">
        <x:v>218.92899999999997</x:v>
      </x:c>
      <x:c r="H64" s="17" t="n">
        <x:f>G64*F64</x:f>
        <x:v>11198.656207999999</x:v>
      </x:c>
      <x:c r="I64" s="22" t="str">
        <x:f>HYPERLINK("https://etp-aktiv.ru/catalog/materialy/svarochnye-ehlektrody/2000546361-Y112/","Открыть позицию")</x:f>
        <x:v>Открыть позицию</x:v>
      </x:c>
    </x:row>
    <x:row r="65" ht="28" customHeight="1">
      <x:c r="A65" s="16" t="str">
        <x:v>Новосибирская ТЭЦ-3</x:v>
      </x:c>
      <x:c r="B65" s="16" t="str">
        <x:v>2000922762-Y112</x:v>
      </x:c>
      <x:c r="C65" s="16" t="str">
        <x:v>УГОЛОК С255-4 90*90*7 ГОСТ8509-93</x:v>
      </x:c>
      <x:c r="D65" s="16" t="str">
        <x:v>Металлопрокат черный</x:v>
      </x:c>
      <x:c r="E65" s="16" t="str">
        <x:v>Т</x:v>
      </x:c>
      <x:c r="F65" s="29" t="n">
        <x:v>0.115</x:v>
      </x:c>
      <x:c r="G65" s="17" t="n">
        <x:v>66999.9966</x:v>
      </x:c>
      <x:c r="H65" s="17" t="n">
        <x:f>G65*F65</x:f>
        <x:v>7704.999609</x:v>
      </x:c>
      <x:c r="I65" s="22" t="str">
        <x:f>HYPERLINK("https://etp-aktiv.ru/catalog/materialy/metalloprodukciya/2000922762-Y112/","Открыть позицию")</x:f>
        <x:v>Открыть позицию</x:v>
      </x:c>
    </x:row>
    <x:row r="66" ht="28" customHeight="1">
      <x:c r="A66" s="16" t="str">
        <x:v>Новосибирская ТЭЦ-3</x:v>
      </x:c>
      <x:c r="B66" s="16" t="str">
        <x:v>2000221839-Y112</x:v>
      </x:c>
      <x:c r="C66" s="16" t="str">
        <x:v>УГОЛОК СТ3 90*90*7 ГОСТ8509-93</x:v>
      </x:c>
      <x:c r="D66" s="16" t="str">
        <x:v>Металлопрокат черный</x:v>
      </x:c>
      <x:c r="E66" s="16" t="str">
        <x:v>Т</x:v>
      </x:c>
      <x:c r="F66" s="29" t="n">
        <x:v>0.39</x:v>
      </x:c>
      <x:c r="G66" s="17" t="n">
        <x:v>73489.99399999999</x:v>
      </x:c>
      <x:c r="H66" s="17" t="n">
        <x:f>G66*F66</x:f>
        <x:v>28661.09766</x:v>
      </x:c>
      <x:c r="I66" s="22" t="str">
        <x:f>HYPERLINK("https://etp-aktiv.ru/catalog/materialy/metalloprodukciya/2000221839-Y112/","Открыть позицию")</x:f>
        <x:v>Открыть позицию</x:v>
      </x:c>
    </x:row>
    <x:row r="67" ht="28" customHeight="1">
      <x:c r="A67" s="16" t="str">
        <x:v>Новосибирская ТЭЦ-3</x:v>
      </x:c>
      <x:c r="B67" s="16" t="str">
        <x:v>2000530238-Y112</x:v>
      </x:c>
      <x:c r="C67" s="16" t="str">
        <x:v>ШАЙБА 24 ГОСТ24379.1-2012</x:v>
      </x:c>
      <x:c r="D67" s="16" t="str">
        <x:v>Метизы специализированные и под заказ</x:v>
      </x:c>
      <x:c r="E67" s="16" t="str">
        <x:v>ШТ</x:v>
      </x:c>
      <x:c r="F67" s="21" t="n">
        <x:v>318</x:v>
      </x:c>
      <x:c r="G67" s="17" t="n">
        <x:v>5.0386</x:v>
      </x:c>
      <x:c r="H67" s="17" t="n">
        <x:f>G67*F67</x:f>
        <x:v>1602.2748</x:v>
      </x:c>
      <x:c r="I67" s="22" t="str">
        <x:f>HYPERLINK("https://etp-aktiv.ru/catalog/materialy/metizy/2000530238-Y112/","Открыть позицию")</x:f>
        <x:v>Открыть позицию</x:v>
      </x:c>
    </x:row>
    <x:row r="68" ht="28" customHeight="1">
      <x:c r="A68" s="16" t="str">
        <x:v>Новосибирская ТЭЦ-3</x:v>
      </x:c>
      <x:c r="B68" s="16" t="str">
        <x:v>2000374784-Y112</x:v>
      </x:c>
      <x:c r="C68" s="16" t="str">
        <x:v>ШАЙБА А.12.01.СТ3.05 ГОСТ11371-78</x:v>
      </x:c>
      <x:c r="D68" s="16" t="str">
        <x:v>Метизы специализированные и под заказ</x:v>
      </x:c>
      <x:c r="E68" s="16" t="str">
        <x:v>КГ</x:v>
      </x:c>
      <x:c r="F68" s="30" t="n">
        <x:v>4.8</x:v>
      </x:c>
      <x:c r="G68" s="17" t="n">
        <x:v>217.3796</x:v>
      </x:c>
      <x:c r="H68" s="17" t="n">
        <x:f>G68*F68</x:f>
        <x:v>1043.42208</x:v>
      </x:c>
      <x:c r="I68" s="22" t="str">
        <x:f>HYPERLINK("https://etp-aktiv.ru/catalog/materialy/metizy/2000374784-Y112/","Открыть позицию")</x:f>
        <x:v>Открыть позицию</x:v>
      </x:c>
    </x:row>
    <x:row r="69" ht="28" customHeight="1">
      <x:c r="A69" s="16" t="str">
        <x:v>Новосибирская ТЭЦ-3</x:v>
      </x:c>
      <x:c r="B69" s="16" t="str">
        <x:v>2000530241-Y112</x:v>
      </x:c>
      <x:c r="C69" s="16" t="str">
        <x:v>ШАЙБА ПЛОСКАЯ 12 СТ20Х1М1Ф1ТР ГОСТ11371</x:v>
      </x:c>
      <x:c r="D69" s="16" t="str">
        <x:v>Метизы</x:v>
      </x:c>
      <x:c r="E69" s="16" t="str">
        <x:v>КГ</x:v>
      </x:c>
      <x:c r="F69" s="30" t="n">
        <x:v>1.2</x:v>
      </x:c>
      <x:c r="G69" s="17" t="n">
        <x:v>219.0022</x:v>
      </x:c>
      <x:c r="H69" s="17" t="n">
        <x:f>G69*F69</x:f>
        <x:v>262.80264</x:v>
      </x:c>
      <x:c r="I69" s="22" t="str">
        <x:f>HYPERLINK("https://etp-aktiv.ru/catalog/materialy/metizy/2000530241-Y112/","Открыть позицию")</x:f>
        <x:v>Открыть позицию</x:v>
      </x:c>
    </x:row>
    <x:row r="70" ht="28" customHeight="1">
      <x:c r="A70" s="16" t="str">
        <x:v>Новосибирская ТЭЦ-3</x:v>
      </x:c>
      <x:c r="B70" s="16" t="str">
        <x:v>2000530249-Y112</x:v>
      </x:c>
      <x:c r="C70" s="16" t="str">
        <x:v>ШАЙБА ПЛОСКАЯ А.10 СТ10Г2 ГОСТ11371-78</x:v>
      </x:c>
      <x:c r="D70" s="16" t="str">
        <x:v>Метизы</x:v>
      </x:c>
      <x:c r="E70" s="16" t="str">
        <x:v>ШТ</x:v>
      </x:c>
      <x:c r="F70" s="30" t="n">
        <x:v>4.9</x:v>
      </x:c>
      <x:c r="G70" s="17" t="n">
        <x:v>195.993</x:v>
      </x:c>
      <x:c r="H70" s="17" t="n">
        <x:f>G70*F70</x:f>
        <x:v>960.3657000000001</x:v>
      </x:c>
      <x:c r="I70" s="22" t="str">
        <x:f>HYPERLINK("https://etp-aktiv.ru/catalog/materialy/metizy/2000530249-Y112/","Открыть позицию")</x:f>
        <x:v>Открыть позицию</x:v>
      </x:c>
    </x:row>
    <x:row r="71" ht="28" customHeight="1">
      <x:c r="A71" s="16" t="str">
        <x:v>Новосибирская ТЭЦ-3</x:v>
      </x:c>
      <x:c r="B71" s="16" t="str">
        <x:v>2000530274-Y112</x:v>
      </x:c>
      <x:c r="C71" s="16" t="str">
        <x:v>ШАЙБА ПЛОСКАЯ А.8 01.СТ08КП ГОСТ11371</x:v>
      </x:c>
      <x:c r="D71" s="16" t="str">
        <x:v>Метизы</x:v>
      </x:c>
      <x:c r="E71" s="16" t="str">
        <x:v>КГ</x:v>
      </x:c>
      <x:c r="F71" s="29" t="n">
        <x:v>0.1</x:v>
      </x:c>
      <x:c r="G71" s="17" t="n">
        <x:v>343.69840000000005</x:v>
      </x:c>
      <x:c r="H71" s="17" t="n">
        <x:f>G71*F71</x:f>
        <x:v>34.36984</x:v>
      </x:c>
      <x:c r="I71" s="22" t="str">
        <x:f>HYPERLINK("https://etp-aktiv.ru/catalog/materialy/metizy/2000530274-Y112/","Открыть позицию")</x:f>
        <x:v>Открыть позицию</x:v>
      </x:c>
    </x:row>
    <x:row r="72" ht="28" customHeight="1">
      <x:c r="A72" s="16" t="str">
        <x:v>Новосибирская ТЭЦ-3</x:v>
      </x:c>
      <x:c r="B72" s="16" t="str">
        <x:v>2000530283-Y112</x:v>
      </x:c>
      <x:c r="C72" s="16" t="str">
        <x:v>ШАЙБА ПРУЖИННАЯ 1.12 СТ65Г ГОСТ6402</x:v>
      </x:c>
      <x:c r="D72" s="16" t="str">
        <x:v>Метизы</x:v>
      </x:c>
      <x:c r="E72" s="16" t="str">
        <x:v>КГ</x:v>
      </x:c>
      <x:c r="F72" s="30" t="n">
        <x:v>2.63</x:v>
      </x:c>
      <x:c r="G72" s="17" t="n">
        <x:v>153.9274</x:v>
      </x:c>
      <x:c r="H72" s="17" t="n">
        <x:f>G72*F72</x:f>
        <x:v>404.829062</x:v>
      </x:c>
      <x:c r="I72" s="22" t="str">
        <x:f>HYPERLINK("https://etp-aktiv.ru/catalog/materialy/metizy/2000530283-Y112/","Открыть позицию")</x:f>
        <x:v>Открыть позицию</x:v>
      </x:c>
    </x:row>
    <x:row r="73" ht="28" customHeight="1">
      <x:c r="A73" s="16" t="str">
        <x:v>Новосибирская ТЭЦ-3</x:v>
      </x:c>
      <x:c r="B73" s="16" t="str">
        <x:v>2000566693-Y112</x:v>
      </x:c>
      <x:c r="C73" s="16" t="str">
        <x:v>ШАЙБА ПРУЖИННАЯ 1.18 СТ3Х13 ГОСТ6402-70</x:v>
      </x:c>
      <x:c r="D73" s="16" t="str">
        <x:v>Метизы специализированные и под заказ</x:v>
      </x:c>
      <x:c r="E73" s="16" t="str">
        <x:v>КГ</x:v>
      </x:c>
      <x:c r="F73" s="21" t="n">
        <x:v>4</x:v>
      </x:c>
      <x:c r="G73" s="17" t="n">
        <x:v>151.25560000000002</x:v>
      </x:c>
      <x:c r="H73" s="17" t="n">
        <x:f>G73*F73</x:f>
        <x:v>605.0224000000001</x:v>
      </x:c>
      <x:c r="I73" s="22" t="str">
        <x:f>HYPERLINK("https://etp-aktiv.ru/catalog/materialy/metizy/2000566693-Y112/","Открыть позицию")</x:f>
        <x:v>Открыть позицию</x:v>
      </x:c>
    </x:row>
    <x:row r="74" ht="28" customHeight="1">
      <x:c r="A74" s="16" t="str">
        <x:v>Новосибирская ТЭЦ-3</x:v>
      </x:c>
      <x:c r="B74" s="16" t="str">
        <x:v>2000530300-Y112</x:v>
      </x:c>
      <x:c r="C74" s="16" t="str">
        <x:v>ШАЙБА ПРУЖИННАЯ 1.6 СТ65Г ГОСТ6402</x:v>
      </x:c>
      <x:c r="D74" s="16" t="str">
        <x:v>Метизы</x:v>
      </x:c>
      <x:c r="E74" s="16" t="str">
        <x:v>КГ</x:v>
      </x:c>
      <x:c r="F74" s="29" t="n">
        <x:v>0.01</x:v>
      </x:c>
      <x:c r="G74" s="17" t="n">
        <x:v>115.3632</x:v>
      </x:c>
      <x:c r="H74" s="17" t="n">
        <x:f>G74*F74</x:f>
        <x:v>1.153632</x:v>
      </x:c>
      <x:c r="I74" s="22" t="str">
        <x:f>HYPERLINK("https://etp-aktiv.ru/catalog/materialy/metizy/2000530300-Y112/","Открыть позицию")</x:f>
        <x:v>Открыть позицию</x:v>
      </x:c>
    </x:row>
    <x:row r="75" ht="28" customHeight="1">
      <x:c r="A75" s="16" t="str">
        <x:v>Новосибирская ТЭЦ-3</x:v>
      </x:c>
      <x:c r="B75" s="16" t="str">
        <x:v>2000530305-Y112</x:v>
      </x:c>
      <x:c r="C75" s="16" t="str">
        <x:v>ШАЙБА СТОПОРНАЯ 10 01 016 ГОСТ13463-77</x:v>
      </x:c>
      <x:c r="D75" s="16" t="str">
        <x:v>Метизы</x:v>
      </x:c>
      <x:c r="E75" s="16" t="str">
        <x:v>ШТ</x:v>
      </x:c>
      <x:c r="F75" s="21" t="n">
        <x:v>300</x:v>
      </x:c>
      <x:c r="G75" s="17" t="n">
        <x:v>0.1464</x:v>
      </x:c>
      <x:c r="H75" s="17" t="n">
        <x:f>G75*F75</x:f>
        <x:v>43.92</x:v>
      </x:c>
      <x:c r="I75" s="22" t="str">
        <x:f>HYPERLINK("https://etp-aktiv.ru/catalog/materialy/metizy/2000530305-Y112/","Открыть позицию")</x:f>
        <x:v>Открыть позицию</x:v>
      </x:c>
    </x:row>
    <x:row r="76" ht="28" customHeight="1">
      <x:c r="A76" s="16" t="str">
        <x:v>Новосибирская ТЭЦ-3</x:v>
      </x:c>
      <x:c r="B76" s="16" t="str">
        <x:v>2000530306-Y112</x:v>
      </x:c>
      <x:c r="C76" s="16" t="str">
        <x:v>ШАЙБА СТОПОРНАЯ 12 01 016 ГОСТ13463-77</x:v>
      </x:c>
      <x:c r="D76" s="16" t="str">
        <x:v>Метизы</x:v>
      </x:c>
      <x:c r="E76" s="16" t="str">
        <x:v>ШТ</x:v>
      </x:c>
      <x:c r="F76" s="21" t="n">
        <x:v>300</x:v>
      </x:c>
      <x:c r="G76" s="17" t="n">
        <x:v>0.2196</x:v>
      </x:c>
      <x:c r="H76" s="17" t="n">
        <x:f>G76*F76</x:f>
        <x:v>65.88</x:v>
      </x:c>
      <x:c r="I76" s="22" t="str">
        <x:f>HYPERLINK("https://etp-aktiv.ru/catalog/materialy/metizy/2000530306-Y112/","Открыть позицию")</x:f>
        <x:v>Открыть позицию</x:v>
      </x:c>
    </x:row>
    <x:row r="77" ht="28" customHeight="1">
      <x:c r="A77" s="16" t="str">
        <x:v>Новосибирская ТЭЦ-3</x:v>
      </x:c>
      <x:c r="B77" s="16" t="str">
        <x:v>2000530307-Y112</x:v>
      </x:c>
      <x:c r="C77" s="16" t="str">
        <x:v>ШАЙБА СТОПОРНАЯ 16 01 016 ГОСТ13463-77</x:v>
      </x:c>
      <x:c r="D77" s="16" t="str">
        <x:v>Метизы</x:v>
      </x:c>
      <x:c r="E77" s="16" t="str">
        <x:v>ШТ</x:v>
      </x:c>
      <x:c r="F77" s="21" t="n">
        <x:v>145</x:v>
      </x:c>
      <x:c r="G77" s="17" t="n">
        <x:v>0.2928</x:v>
      </x:c>
      <x:c r="H77" s="17" t="n">
        <x:f>G77*F77</x:f>
        <x:v>42.456</x:v>
      </x:c>
      <x:c r="I77" s="22" t="str">
        <x:f>HYPERLINK("https://etp-aktiv.ru/catalog/materialy/metizy/2000530307-Y112/","Открыть позицию")</x:f>
        <x:v>Открыть позицию</x:v>
      </x:c>
    </x:row>
    <x:row r="78" ht="28" customHeight="1">
      <x:c r="A78" s="16" t="str">
        <x:v>Новосибирская ТЭЦ-3</x:v>
      </x:c>
      <x:c r="B78" s="16" t="str">
        <x:v>2000530324-Y112</x:v>
      </x:c>
      <x:c r="C78" s="16" t="str">
        <x:v>ШПИЛЬКА 3.М16*500 В-СТ3ПС ГОСТ24379.1</x:v>
      </x:c>
      <x:c r="D78" s="16" t="str">
        <x:v>Метизы</x:v>
      </x:c>
      <x:c r="E78" s="16" t="str">
        <x:v>ШТ</x:v>
      </x:c>
      <x:c r="F78" s="21" t="n">
        <x:v>14</x:v>
      </x:c>
      <x:c r="G78" s="17" t="n">
        <x:v>14.456999999999999</x:v>
      </x:c>
      <x:c r="H78" s="17" t="n">
        <x:f>G78*F78</x:f>
        <x:v>202.398</x:v>
      </x:c>
      <x:c r="I78" s="22" t="str">
        <x:f>HYPERLINK("https://etp-aktiv.ru/catalog/materialy/metizy/2000530324-Y112/","Открыть позицию")</x:f>
        <x:v>Открыть позицию</x:v>
      </x:c>
    </x:row>
    <x:row r="79" ht="28" customHeight="1">
      <x:c r="A79" s="16" t="str">
        <x:v>Новосибирская ТЭЦ-3</x:v>
      </x:c>
      <x:c r="B79" s="16" t="str">
        <x:v>2000530389-Y112</x:v>
      </x:c>
      <x:c r="C79" s="16" t="str">
        <x:v>ШПИЛЬКА М12*70 ГОСТ22040-76</x:v>
      </x:c>
      <x:c r="D79" s="16" t="str">
        <x:v>Метизы</x:v>
      </x:c>
      <x:c r="E79" s="16" t="str">
        <x:v>КГ</x:v>
      </x:c>
      <x:c r="F79" s="30" t="n">
        <x:v>4.555</x:v>
      </x:c>
      <x:c r="G79" s="17" t="n">
        <x:v>1363.3134</x:v>
      </x:c>
      <x:c r="H79" s="17" t="n">
        <x:f>G79*F79</x:f>
        <x:v>6209.892537</x:v>
      </x:c>
      <x:c r="I79" s="22" t="str">
        <x:f>HYPERLINK("https://etp-aktiv.ru/catalog/materialy/metizy/2000530389-Y112/","Открыть позицию")</x:f>
        <x:v>Открыть позицию</x:v>
      </x:c>
    </x:row>
    <x:row r="80" ht="28" customHeight="1">
      <x:c r="A80" s="16" t="str">
        <x:v>Новосибирская ТЭЦ-3</x:v>
      </x:c>
      <x:c r="B80" s="16" t="str">
        <x:v>2000530390-Y112</x:v>
      </x:c>
      <x:c r="C80" s="16" t="str">
        <x:v>ШПИЛЬКА М12*70 ГОСТ22042-76</x:v>
      </x:c>
      <x:c r="D80" s="16" t="str">
        <x:v>Метизы</x:v>
      </x:c>
      <x:c r="E80" s="16" t="str">
        <x:v>ШТ</x:v>
      </x:c>
      <x:c r="F80" s="21" t="n">
        <x:v>6</x:v>
      </x:c>
      <x:c r="G80" s="17" t="n">
        <x:v>44.7984</x:v>
      </x:c>
      <x:c r="H80" s="17" t="n">
        <x:f>G80*F80</x:f>
        <x:v>268.7904</x:v>
      </x:c>
      <x:c r="I80" s="22" t="str">
        <x:f>HYPERLINK("https://etp-aktiv.ru/catalog/materialy/metizy/2000530390-Y112/","Открыть позицию")</x:f>
        <x:v>Открыть позицию</x:v>
      </x:c>
    </x:row>
    <x:row r="81" ht="28" customHeight="1">
      <x:c r="A81" s="16" t="str">
        <x:v>Новосибирская ТЭЦ-3</x:v>
      </x:c>
      <x:c r="B81" s="16" t="str">
        <x:v>2000530402-Y112</x:v>
      </x:c>
      <x:c r="C81" s="16" t="str">
        <x:v>ШПИЛЬКА М20*300 ГОСТ22042-76</x:v>
      </x:c>
      <x:c r="D81" s="16" t="str">
        <x:v>Метизы</x:v>
      </x:c>
      <x:c r="E81" s="16" t="str">
        <x:v>ШТ</x:v>
      </x:c>
      <x:c r="F81" s="21" t="n">
        <x:v>310</x:v>
      </x:c>
      <x:c r="G81" s="17" t="n">
        <x:v>154.0738</x:v>
      </x:c>
      <x:c r="H81" s="17" t="n">
        <x:f>G81*F81</x:f>
        <x:v>47762.878000000004</x:v>
      </x:c>
      <x:c r="I81" s="22" t="str">
        <x:f>HYPERLINK("https://etp-aktiv.ru/catalog/materialy/metizy/2000530402-Y112/","Открыть позицию")</x:f>
        <x:v>Открыть позицию</x:v>
      </x:c>
    </x:row>
    <x:row r="82" ht="28" customHeight="1">
      <x:c r="A82" s="16" t="str">
        <x:v>Новосибирская ТЭЦ-3</x:v>
      </x:c>
      <x:c r="B82" s="16" t="str">
        <x:v>2000068561-Y112</x:v>
      </x:c>
      <x:c r="C82" s="16" t="str">
        <x:v>ШУРУП 3,5*30 ГОСТ1145-80</x:v>
      </x:c>
      <x:c r="D82" s="16" t="str">
        <x:v>Метизы</x:v>
      </x:c>
      <x:c r="E82" s="16" t="str">
        <x:v>КГ</x:v>
      </x:c>
      <x:c r="F82" s="21" t="n">
        <x:v>48</x:v>
      </x:c>
      <x:c r="G82" s="17" t="n">
        <x:v>182.0484</x:v>
      </x:c>
      <x:c r="H82" s="17" t="n">
        <x:f>G82*F82</x:f>
        <x:v>8738.323199999999</x:v>
      </x:c>
      <x:c r="I82" s="22" t="str">
        <x:f>HYPERLINK("https://etp-aktiv.ru/catalog/materialy/metizy/2000068561-Y112/","Открыть позицию")</x:f>
        <x:v>Открыть позицию</x:v>
      </x:c>
    </x:row>
    <x:row r="83" ht="28" customHeight="1">
      <x:c r="A83" s="16" t="str">
        <x:v>Новосибирская ТЭЦ-3</x:v>
      </x:c>
      <x:c r="B83" s="16" t="str">
        <x:v>2000164294-Y112</x:v>
      </x:c>
      <x:c r="C83" s="16" t="str">
        <x:v>ЭЛЕКТРОД ТМЛ-3У 5ММ ГОСТ9467-75</x:v>
      </x:c>
      <x:c r="D83" s="16" t="str">
        <x:v>Сварочные электроды</x:v>
      </x:c>
      <x:c r="E83" s="16" t="str">
        <x:v>Т</x:v>
      </x:c>
      <x:c r="F83" s="29" t="n">
        <x:v>0.072</x:v>
      </x:c>
      <x:c r="G83" s="17" t="n">
        <x:v>90693.3604</x:v>
      </x:c>
      <x:c r="H83" s="17" t="n">
        <x:f>G83*F83</x:f>
        <x:v>6529.9219488</x:v>
      </x:c>
      <x:c r="I83" s="22" t="str">
        <x:f>HYPERLINK("https://etp-aktiv.ru/catalog/materialy/svarochnye-ehlektrody/2000164294-Y112/","Открыть позицию")</x:f>
        <x:v>Открыть позицию</x:v>
      </x:c>
    </x:row>
    <x:row r="84" ht="28" customHeight="1">
      <x:c r="A84" s="16" t="str">
        <x:v>Новосибирская ТЭЦ-3</x:v>
      </x:c>
      <x:c r="B84" s="16" t="str">
        <x:v>2000068192-Y112</x:v>
      </x:c>
      <x:c r="C84" s="16" t="str">
        <x:v>ЭЛЕКТРОД ТМУ-21У 4ММ ГОСТ9466-75</x:v>
      </x:c>
      <x:c r="D84" s="16" t="str">
        <x:v>Сварочные электроды</x:v>
      </x:c>
      <x:c r="E84" s="16" t="str">
        <x:v>Т</x:v>
      </x:c>
      <x:c r="F84" s="29" t="n">
        <x:v>0.001</x:v>
      </x:c>
      <x:c r="G84" s="17" t="n">
        <x:v>43258.15</x:v>
      </x:c>
      <x:c r="H84" s="17" t="n">
        <x:f>G84*F84</x:f>
        <x:v>43.25815</x:v>
      </x:c>
      <x:c r="I84" s="22" t="str">
        <x:f>HYPERLINK("https://etp-aktiv.ru/catalog/materialy/svarochnye-ehlektrody/2000068192-Y112/","Открыть позицию")</x:f>
        <x:v>Открыть позицию</x:v>
      </x:c>
    </x:row>
    <x:row r="85" ht="28" customHeight="1">
      <x:c r="A85" s="16" t="str">
        <x:v>Новосибирская ТЭЦ-3</x:v>
      </x:c>
      <x:c r="B85" s="16" t="str">
        <x:v>2000228664-Y112</x:v>
      </x:c>
      <x:c r="C85" s="16" t="str">
        <x:v>ЭЛЕКТРОД ЦЛ-11 4ММ ГОСТ9466-75 (КГ)</x:v>
      </x:c>
      <x:c r="D85" s="16" t="str">
        <x:v>Сварочные электроды</x:v>
      </x:c>
      <x:c r="E85" s="16" t="str">
        <x:v>КГ</x:v>
      </x:c>
      <x:c r="F85" s="30" t="n">
        <x:v>1.509</x:v>
      </x:c>
      <x:c r="G85" s="17" t="n">
        <x:v>422.44939999999997</x:v>
      </x:c>
      <x:c r="H85" s="17" t="n">
        <x:f>G85*F85</x:f>
        <x:v>637.4761445999999</x:v>
      </x:c>
      <x:c r="I85" s="22" t="str">
        <x:f>HYPERLINK("https://etp-aktiv.ru/catalog/materialy/svarochnye-ehlektrody/2000228664-Y112/","Открыть позицию")</x:f>
        <x:v>Открыть позицию</x:v>
      </x:c>
    </x:row>
    <x:row r="86" ht="28" customHeight="1">
      <x:c r="A86" s="16" t="str">
        <x:v>Новосибирская ТЭЦ-3</x:v>
      </x:c>
      <x:c r="B86" s="16" t="str">
        <x:v>2000546318-Y112</x:v>
      </x:c>
      <x:c r="C86" s="16" t="str">
        <x:v>ЭЛЕКТРОД ЦЛ-20 4ММ ГОСТ9466-75</x:v>
      </x:c>
      <x:c r="D86" s="16" t="str">
        <x:v>Сварочные электроды</x:v>
      </x:c>
      <x:c r="E86" s="16" t="str">
        <x:v>КГ</x:v>
      </x:c>
      <x:c r="F86" s="21" t="n">
        <x:v>5</x:v>
      </x:c>
      <x:c r="G86" s="17" t="n">
        <x:v>102.114</x:v>
      </x:c>
      <x:c r="H86" s="17" t="n">
        <x:f>G86*F86</x:f>
        <x:v>510.57000000000005</x:v>
      </x:c>
      <x:c r="I86" s="22" t="str">
        <x:f>HYPERLINK("https://etp-aktiv.ru/catalog/materialy/svarochnye-ehlektrody/2000546318-Y112/","Открыть позицию")</x:f>
        <x:v>Открыть позицию</x:v>
      </x:c>
    </x:row>
    <x:row r="87" ht="28" customHeight="1">
      <x:c r="A87" s="16" t="str">
        <x:v>Новосибирская ТЭЦ-3</x:v>
      </x:c>
      <x:c r="B87" s="16" t="str">
        <x:v>2000546326-Y112</x:v>
      </x:c>
      <x:c r="C87" s="16" t="str">
        <x:v>ЭЛЕКТРОД ЦТ-15 3ММ ГОСТ9466-75</x:v>
      </x:c>
      <x:c r="D87" s="16" t="str">
        <x:v>Сварочные электроды</x:v>
      </x:c>
      <x:c r="E87" s="16" t="str">
        <x:v>КГ</x:v>
      </x:c>
      <x:c r="F87" s="30" t="n">
        <x:v>28.2</x:v>
      </x:c>
      <x:c r="G87" s="17" t="n">
        <x:v>205.0454</x:v>
      </x:c>
      <x:c r="H87" s="17" t="n">
        <x:f>G87*F87</x:f>
        <x:v>5782.28028</x:v>
      </x:c>
      <x:c r="I87" s="22" t="str">
        <x:f>HYPERLINK("https://etp-aktiv.ru/catalog/materialy/svarochnye-ehlektrody/2000546326-Y112/","Открыть позицию")</x:f>
        <x:v>Открыть позицию</x:v>
      </x:c>
    </x:row>
    <x:row r="88" ht="28" customHeight="1">
      <x:c r="A88" s="16" t="str">
        <x:v>Новосибирская ТЭЦ-3</x:v>
      </x:c>
      <x:c r="B88" s="16" t="str">
        <x:v>2000546327-Y112</x:v>
      </x:c>
      <x:c r="C88" s="16" t="str">
        <x:v>ЭЛЕКТРОД ЦТ-15 4ММ ГОСТ9466-75</x:v>
      </x:c>
      <x:c r="D88" s="16" t="str">
        <x:v>Сварочные электроды</x:v>
      </x:c>
      <x:c r="E88" s="16" t="str">
        <x:v>Т</x:v>
      </x:c>
      <x:c r="F88" s="29" t="n">
        <x:v>0.005</x:v>
      </x:c>
      <x:c r="G88" s="17" t="n">
        <x:v>196453.11080000002</x:v>
      </x:c>
      <x:c r="H88" s="17" t="n">
        <x:f>G88*F88</x:f>
        <x:v>982.2655540000002</x:v>
      </x:c>
      <x:c r="I88" s="22" t="str">
        <x:f>HYPERLINK("https://etp-aktiv.ru/catalog/materialy/svarochnye-ehlektrody/2000546327-Y112/","Открыть позицию")</x:f>
        <x:v>Открыть позицию</x:v>
      </x:c>
    </x:row>
    <x:row r="89" ht="28" customHeight="1">
      <x:c r="A89" s="16" t="str">
        <x:v>Новосибирская ТЭЦ-3</x:v>
      </x:c>
      <x:c r="B89" s="16" t="str">
        <x:v>2000546329-Y112</x:v>
      </x:c>
      <x:c r="C89" s="16" t="str">
        <x:v>ЭЛЕКТРОД ЦТ-28 4ММ ГОСТ9466-75</x:v>
      </x:c>
      <x:c r="D89" s="16" t="str">
        <x:v>Сварочные электроды</x:v>
      </x:c>
      <x:c r="E89" s="16" t="str">
        <x:v>Т</x:v>
      </x:c>
      <x:c r="F89" s="29" t="n">
        <x:v>0.013</x:v>
      </x:c>
      <x:c r="G89" s="17" t="n">
        <x:v>2847886.5894</x:v>
      </x:c>
      <x:c r="H89" s="17" t="n">
        <x:f>G89*F89</x:f>
        <x:v>37022.525662199994</x:v>
      </x:c>
      <x:c r="I89" s="22" t="str">
        <x:f>HYPERLINK("https://etp-aktiv.ru/catalog/materialy/svarochnye-ehlektrody/2000546329-Y112/","Открыть позицию")</x:f>
        <x:v>Открыть позицию</x:v>
      </x:c>
    </x:row>
    <x:row r="90" ht="28" customHeight="1">
      <x:c r="A90" s="16" t="str">
        <x:v>Новосибирская ТЭЦ-3</x:v>
      </x:c>
      <x:c r="B90" s="16" t="str">
        <x:v>2000546331-Y112</x:v>
      </x:c>
      <x:c r="C90" s="16" t="str">
        <x:v>ЭЛЕКТРОД ЦУ-5 3ММ ГОСТ9466-75</x:v>
      </x:c>
      <x:c r="D90" s="16" t="str">
        <x:v>Сварочные электроды</x:v>
      </x:c>
      <x:c r="E90" s="16" t="str">
        <x:v>КГ</x:v>
      </x:c>
      <x:c r="F90" s="30" t="n">
        <x:v>4.83</x:v>
      </x:c>
      <x:c r="G90" s="17" t="n">
        <x:v>70.8698</x:v>
      </x:c>
      <x:c r="H90" s="17" t="n">
        <x:f>G90*F90</x:f>
        <x:v>342.301134</x:v>
      </x:c>
      <x:c r="I90" s="22" t="str">
        <x:f>HYPERLINK("https://etp-aktiv.ru/catalog/materialy/svarochnye-ehlektrody/2000546331-Y112/","Открыть позицию")</x:f>
        <x:v>Открыть позицию</x:v>
      </x:c>
    </x:row>
    <x:row r="91" ht="28" customHeight="1">
      <x:c r="A91" s="16" t="str">
        <x:v>Новосибирская ТЭЦ-3</x:v>
      </x:c>
      <x:c r="B91" s="16" t="str">
        <x:v>2000018273-Y112</x:v>
      </x:c>
      <x:c r="C91" s="16" t="str">
        <x:v>ЭЛЕКТРОД ЦЧ-4 4ММ ГОСТ9466-75</x:v>
      </x:c>
      <x:c r="D91" s="16" t="str">
        <x:v>Сварочные электроды</x:v>
      </x:c>
      <x:c r="E91" s="16" t="str">
        <x:v>Т</x:v>
      </x:c>
      <x:c r="F91" s="29" t="n">
        <x:v>0.012</x:v>
      </x:c>
      <x:c r="G91" s="17" t="n">
        <x:v>276029.575</x:v>
      </x:c>
      <x:c r="H91" s="17" t="n">
        <x:f>G91*F91</x:f>
        <x:v>3312.3549000000003</x:v>
      </x:c>
      <x:c r="I91" s="22" t="str">
        <x:f>HYPERLINK("https://etp-aktiv.ru/catalog/materialy/svarochnye-ehlektrody/2000018273-Y112/","Открыть позицию")</x:f>
        <x:v>Открыть позицию</x:v>
      </x:c>
    </x:row>
    <x:row r="92" ht="28" customHeight="1">
      <x:c r="A92" s="16" t="str">
        <x:v>Новосибирская ТЭЦ-3</x:v>
      </x:c>
      <x:c r="B92" s="16" t="str">
        <x:v>2000636222-Y112</x:v>
      </x:c>
      <x:c r="C92" s="16" t="str">
        <x:v>ЭЛЕКТРОДОДЕРЖАТЕЛЬ GWC DE-2500 500А</x:v>
      </x:c>
      <x:c r="D92" s="16" t="str">
        <x:v>Комплектующие и запасные части к сварочному оборудованию</x:v>
      </x:c>
      <x:c r="E92" s="16" t="str">
        <x:v>ШТ</x:v>
      </x:c>
      <x:c r="F92" s="21" t="n">
        <x:v>1</x:v>
      </x:c>
      <x:c r="G92" s="17" t="n">
        <x:v>319.50579999999997</x:v>
      </x:c>
      <x:c r="H92" s="17" t="n">
        <x:f>G92*F92</x:f>
        <x:v>319.50579999999997</x:v>
      </x:c>
      <x:c r="I92" s="22" t="str">
        <x:f>HYPERLINK("https://etp-aktiv.ru/catalog/materialy/zapasnye-chasti-promyshlennogo-oborudovaniya/2000636222-Y112/","Открыть позицию")</x:f>
        <x:v>Открыть позицию</x:v>
      </x:c>
    </x:row>
    <x:row r="93" ht="28" customHeight="1">
      <x:c r="A93" s="16" t="str">
        <x:v>Новосибирская ТЭЦ-4</x:v>
      </x:c>
      <x:c r="B93" s="16" t="str">
        <x:v>2000253419-Y113</x:v>
      </x:c>
      <x:c r="C93" s="16" t="str">
        <x:v>КРУГ СТ3 D200ММ ГОСТ2590-88</x:v>
      </x:c>
      <x:c r="D93" s="16" t="str">
        <x:v>Металлопрокат черный</x:v>
      </x:c>
      <x:c r="E93" s="16" t="str">
        <x:v>Т</x:v>
      </x:c>
      <x:c r="F93" s="30" t="n">
        <x:v>1.199</x:v>
      </x:c>
      <x:c r="G93" s="17" t="n">
        <x:v>127998.4594</x:v>
      </x:c>
      <x:c r="H93" s="17" t="n">
        <x:f>G93*F93</x:f>
        <x:v>153470.15282060002</x:v>
      </x:c>
      <x:c r="I93" s="22" t="str">
        <x:f>HYPERLINK("https://etp-aktiv.ru/catalog/materialy/metalloprodukciya/2000253419-Y113/","Открыть позицию")</x:f>
        <x:v>Открыть позицию</x:v>
      </x:c>
    </x:row>
    <x:row r="94" ht="28" customHeight="1">
      <x:c r="A94" s="16" t="str">
        <x:v>Новосибирская ТЭЦ-4</x:v>
      </x:c>
      <x:c r="B94" s="16" t="str">
        <x:v>2000920216-Y113</x:v>
      </x:c>
      <x:c r="C94" s="16" t="str">
        <x:v>ЛЕНТА ДПРНТ 0,5*300 МД БРКМЦ3-1 ГОСТ4748</x:v>
      </x:c>
      <x:c r="D94" s="16" t="str">
        <x:v>Металлопрокат цветной</x:v>
      </x:c>
      <x:c r="E94" s="16" t="str">
        <x:v>КГ</x:v>
      </x:c>
      <x:c r="F94" s="30" t="n">
        <x:v>47.1</x:v>
      </x:c>
      <x:c r="G94" s="17" t="n">
        <x:v>1326.201</x:v>
      </x:c>
      <x:c r="H94" s="17" t="n">
        <x:f>G94*F94</x:f>
        <x:v>62464.0671</x:v>
      </x:c>
      <x:c r="I94" s="22" t="str">
        <x:f>HYPERLINK("https://etp-aktiv.ru/catalog/materialy/metalloprodukciya/2000920216-Y113/","Открыть позицию")</x:f>
        <x:v>Открыть позицию</x:v>
      </x:c>
    </x:row>
    <x:row r="95" ht="28" customHeight="1">
      <x:c r="A95" s="16" t="str">
        <x:v>Новосибирская ТЭЦ-4</x:v>
      </x:c>
      <x:c r="B95" s="16" t="str">
        <x:v>2000148553-Y113</x:v>
      </x:c>
      <x:c r="C95" s="16" t="str">
        <x:v>ЛИСТ СТ3 25ММ ГОСТ19904-90</x:v>
      </x:c>
      <x:c r="D95" s="16" t="str">
        <x:v>Металлопрокат черный</x:v>
      </x:c>
      <x:c r="E95" s="16" t="str">
        <x:v>Т</x:v>
      </x:c>
      <x:c r="F95" s="29" t="n">
        <x:v>0.114</x:v>
      </x:c>
      <x:c r="G95" s="17" t="n">
        <x:v>114375</x:v>
      </x:c>
      <x:c r="H95" s="17" t="n">
        <x:f>G95*F95</x:f>
        <x:v>13038.75</x:v>
      </x:c>
      <x:c r="I95" s="22" t="str">
        <x:f>HYPERLINK("https://etp-aktiv.ru/catalog/materialy/metalloprodukciya/2000148553-Y113/","Открыть позицию")</x:f>
        <x:v>Открыть позицию</x:v>
      </x:c>
    </x:row>
    <x:row r="96" ht="28" customHeight="1">
      <x:c r="A96" s="16" t="str">
        <x:v>Новосибирская ТЭЦ-4</x:v>
      </x:c>
      <x:c r="B96" s="16" t="str">
        <x:v>2000556256-Y113</x:v>
      </x:c>
      <x:c r="C96" s="16" t="str">
        <x:v>ПРИПОЙ ПМФОЦР 6-4-0,03 3,0ММ ТУ48-21-663</x:v>
      </x:c>
      <x:c r="D96" s="16" t="str">
        <x:v>Металлопрокат цветной</x:v>
      </x:c>
      <x:c r="E96" s="16" t="str">
        <x:v>КГ</x:v>
      </x:c>
      <x:c r="F96" s="29" t="n">
        <x:v>0.46</x:v>
      </x:c>
      <x:c r="G96" s="17" t="n">
        <x:v>8406.6418</x:v>
      </x:c>
      <x:c r="H96" s="17" t="n">
        <x:f>G96*F96</x:f>
        <x:v>3867.0552279999997</x:v>
      </x:c>
      <x:c r="I96" s="22" t="str">
        <x:f>HYPERLINK("https://etp-aktiv.ru/catalog/materialy/metalloprodukciya/2000556256-Y113/","Открыть позицию")</x:f>
        <x:v>Открыть позицию</x:v>
      </x:c>
    </x:row>
    <x:row r="97" ht="28" customHeight="1">
      <x:c r="A97" s="16" t="str">
        <x:v>Новосибирская ТЭЦ-4</x:v>
      </x:c>
      <x:c r="B97" s="16" t="str">
        <x:v>2000556257-Y113</x:v>
      </x:c>
      <x:c r="C97" s="16" t="str">
        <x:v>ПРИПОЙ ПОС-30 8,0ММ ГОСТ21931-76</x:v>
      </x:c>
      <x:c r="D97" s="16" t="str">
        <x:v>Металлопрокат цветной</x:v>
      </x:c>
      <x:c r="E97" s="16" t="str">
        <x:v>КГ</x:v>
      </x:c>
      <x:c r="F97" s="29" t="n">
        <x:v>0.22</x:v>
      </x:c>
      <x:c r="G97" s="17" t="n">
        <x:v>1894.6112</x:v>
      </x:c>
      <x:c r="H97" s="17" t="n">
        <x:f>G97*F97</x:f>
        <x:v>416.814464</x:v>
      </x:c>
      <x:c r="I97" s="22" t="str">
        <x:f>HYPERLINK("https://etp-aktiv.ru/catalog/materialy/metalloprodukciya/2000556257-Y113/","Открыть позицию")</x:f>
        <x:v>Открыть позицию</x:v>
      </x:c>
    </x:row>
    <x:row r="98" ht="28" customHeight="1">
      <x:c r="A98" s="16" t="str">
        <x:v>Новосибирская ТЭЦ-4</x:v>
      </x:c>
      <x:c r="B98" s="16" t="str">
        <x:v>2000555622-Y113</x:v>
      </x:c>
      <x:c r="C98" s="16" t="str">
        <x:v>СЕТКА 12Х18Н10Т 1-0,4 ГОСТ3826-82</x:v>
      </x:c>
      <x:c r="D98" s="16" t="str">
        <x:v>Металлопрокат из нержавеющей стали</x:v>
      </x:c>
      <x:c r="E98" s="16" t="str">
        <x:v>М2</x:v>
      </x:c>
      <x:c r="F98" s="30" t="n">
        <x:v>1.5</x:v>
      </x:c>
      <x:c r="G98" s="17" t="n">
        <x:v>1826.5718</x:v>
      </x:c>
      <x:c r="H98" s="17" t="n">
        <x:f>G98*F98</x:f>
        <x:v>2739.8577</x:v>
      </x:c>
      <x:c r="I98" s="22" t="str">
        <x:f>HYPERLINK("https://etp-aktiv.ru/catalog/materialy/metalloprodukciya/2000555622-Y113/","Открыть позицию")</x:f>
        <x:v>Открыть позицию</x:v>
      </x:c>
    </x:row>
    <x:row r="99" ht="28" customHeight="1">
      <x:c r="A99" s="16" t="str">
        <x:v>Новосибирская ТЭЦ-4</x:v>
      </x:c>
      <x:c r="B99" s="16" t="str">
        <x:v>2000691449-Y113</x:v>
      </x:c>
      <x:c r="C99" s="16" t="str">
        <x:v>ФОЛЬГА ДПРНМ НД АД1 0,1*500 ГОСТ618-2014</x:v>
      </x:c>
      <x:c r="D99" s="16" t="str">
        <x:v>Металлопрокат цветной</x:v>
      </x:c>
      <x:c r="E99" s="16" t="str">
        <x:v>КГ</x:v>
      </x:c>
      <x:c r="F99" s="21" t="n">
        <x:v>70</x:v>
      </x:c>
      <x:c r="G99" s="17" t="n">
        <x:v>305.62219999999996</x:v>
      </x:c>
      <x:c r="H99" s="17" t="n">
        <x:f>G99*F99</x:f>
        <x:v>21393.553999999996</x:v>
      </x:c>
      <x:c r="I99" s="22" t="str">
        <x:f>HYPERLINK("https://etp-aktiv.ru/catalog/materialy/metalloprodukciya/2000691449-Y113/","Открыть позицию")</x:f>
        <x:v>Открыть позицию</x:v>
      </x:c>
    </x:row>
    <x:row r="100" ht="28" customHeight="1">
      <x:c r="A100" s="16" t="str">
        <x:v>Новосибирская ТЭЦ-5</x:v>
      </x:c>
      <x:c r="B100" s="16" t="str">
        <x:v>2000304126-Y114</x:v>
      </x:c>
      <x:c r="C100" s="16" t="str">
        <x:v>ГАЙКА М10 8 ГОСТ5915-70</x:v>
      </x:c>
      <x:c r="D100" s="16" t="str">
        <x:v>Метизы</x:v>
      </x:c>
      <x:c r="E100" s="16" t="str">
        <x:v>КГ</x:v>
      </x:c>
      <x:c r="F100" s="30" t="n">
        <x:v>13.5</x:v>
      </x:c>
      <x:c r="G100" s="17" t="n">
        <x:v>151.0116</x:v>
      </x:c>
      <x:c r="H100" s="17" t="n">
        <x:f>G100*F100</x:f>
        <x:v>2038.6565999999998</x:v>
      </x:c>
      <x:c r="I100" s="22" t="str">
        <x:f>HYPERLINK("https://etp-aktiv.ru/catalog/materialy/metizy/2000304126-Y114/","Открыть позицию")</x:f>
        <x:v>Открыть позицию</x:v>
      </x:c>
    </x:row>
    <x:row r="101" ht="28" customHeight="1">
      <x:c r="A101" s="16" t="str">
        <x:v>Новосибирская ТЭЦ-5</x:v>
      </x:c>
      <x:c r="B101" s="16" t="str">
        <x:v>2000353916-Y114</x:v>
      </x:c>
      <x:c r="C101" s="16" t="str">
        <x:v>ЗАКЛЕПКА 4*8 ГОСТ10299-80</x:v>
      </x:c>
      <x:c r="D101" s="16" t="str">
        <x:v>Метизы</x:v>
      </x:c>
      <x:c r="E101" s="16" t="str">
        <x:v>ШТ</x:v>
      </x:c>
      <x:c r="F101" s="21" t="n">
        <x:v>200</x:v>
      </x:c>
      <x:c r="G101" s="17" t="n">
        <x:v>1.098</x:v>
      </x:c>
      <x:c r="H101" s="17" t="n">
        <x:f>G101*F101</x:f>
        <x:v>219.60000000000002</x:v>
      </x:c>
      <x:c r="I101" s="22" t="str">
        <x:f>HYPERLINK("https://etp-aktiv.ru/catalog/materialy/metizy/2000353916-Y114/","Открыть позицию")</x:f>
        <x:v>Открыть позицию</x:v>
      </x:c>
    </x:row>
    <x:row r="102" ht="28" customHeight="1">
      <x:c r="A102" s="16" t="str">
        <x:v>Новосибирская ТЭЦ-5</x:v>
      </x:c>
      <x:c r="B102" s="16" t="str">
        <x:v>2000618399-Y114</x:v>
      </x:c>
      <x:c r="C102" s="16" t="str">
        <x:v>КОЛЬЦО А58 ГОСТ13941-86</x:v>
      </x:c>
      <x:c r="D102" s="16" t="str">
        <x:v>Метизы специализированные и под заказ</x:v>
      </x:c>
      <x:c r="E102" s="16" t="str">
        <x:v>КГ</x:v>
      </x:c>
      <x:c r="F102" s="30" t="n">
        <x:v>48.08</x:v>
      </x:c>
      <x:c r="G102" s="17" t="n">
        <x:v>18.3</x:v>
      </x:c>
      <x:c r="H102" s="17" t="n">
        <x:f>G102*F102</x:f>
        <x:v>879.864</x:v>
      </x:c>
      <x:c r="I102" s="22" t="str">
        <x:f>HYPERLINK("https://etp-aktiv.ru/catalog/materialy/metizy/2000618399-Y114/","Открыть позицию")</x:f>
        <x:v>Открыть позицию</x:v>
      </x:c>
    </x:row>
    <x:row r="103" ht="28" customHeight="1">
      <x:c r="A103" s="16" t="str">
        <x:v>Новосибирская ТЭЦ-5</x:v>
      </x:c>
      <x:c r="B103" s="16" t="str">
        <x:v>2000148524-Y114</x:v>
      </x:c>
      <x:c r="C103" s="16" t="str">
        <x:v>КРУГ СТ20 D24ММ ГОСТ2590-88</x:v>
      </x:c>
      <x:c r="D103" s="16" t="str">
        <x:v>Металлопрокат черный</x:v>
      </x:c>
      <x:c r="E103" s="16" t="str">
        <x:v>Т</x:v>
      </x:c>
      <x:c r="F103" s="29" t="n">
        <x:v>0.012</x:v>
      </x:c>
      <x:c r="G103" s="17" t="n">
        <x:v>87284.3754</x:v>
      </x:c>
      <x:c r="H103" s="17" t="n">
        <x:f>G103*F103</x:f>
        <x:v>1047.4125048</x:v>
      </x:c>
      <x:c r="I103" s="22" t="str">
        <x:f>HYPERLINK("https://etp-aktiv.ru/catalog/materialy/metalloprodukciya/2000148524-Y114/","Открыть позицию")</x:f>
        <x:v>Открыть позицию</x:v>
      </x:c>
    </x:row>
    <x:row r="104" ht="28" customHeight="1">
      <x:c r="A104" s="16" t="str">
        <x:v>Новосибирская ТЭЦ-5</x:v>
      </x:c>
      <x:c r="B104" s="16" t="str">
        <x:v>2000555903-Y114</x:v>
      </x:c>
      <x:c r="C104" s="16" t="str">
        <x:v>ЛИСТ СТ20 60ММ ГОСТ1577-93</x:v>
      </x:c>
      <x:c r="D104" s="16" t="str">
        <x:v>Металлопрокат черный</x:v>
      </x:c>
      <x:c r="E104" s="16" t="str">
        <x:v>Т</x:v>
      </x:c>
      <x:c r="F104" s="29" t="n">
        <x:v>0.102</x:v>
      </x:c>
      <x:c r="G104" s="17" t="n">
        <x:v>137250</x:v>
      </x:c>
      <x:c r="H104" s="17" t="n">
        <x:f>G104*F104</x:f>
        <x:v>13999.5</x:v>
      </x:c>
      <x:c r="I104" s="22" t="str">
        <x:f>HYPERLINK("https://etp-aktiv.ru/catalog/materialy/metalloprodukciya/2000555903-Y114/","Открыть позицию")</x:f>
        <x:v>Открыть позицию</x:v>
      </x:c>
    </x:row>
    <x:row r="105" ht="28" customHeight="1">
      <x:c r="A105" s="16" t="str">
        <x:v>Новосибирская ТЭЦ-5</x:v>
      </x:c>
      <x:c r="B105" s="16" t="str">
        <x:v>2000140758-Y114</x:v>
      </x:c>
      <x:c r="C105" s="16" t="str">
        <x:v>ПОЛОСА СТ3 60*6 ГОСТ103-76</x:v>
      </x:c>
      <x:c r="D105" s="16" t="str">
        <x:v>Металлопрокат прочий</x:v>
      </x:c>
      <x:c r="E105" s="16" t="str">
        <x:v>Т</x:v>
      </x:c>
      <x:c r="F105" s="29" t="n">
        <x:v>0.034</x:v>
      </x:c>
      <x:c r="G105" s="17" t="n">
        <x:v>18300</x:v>
      </x:c>
      <x:c r="H105" s="17" t="n">
        <x:f>G105*F105</x:f>
        <x:v>622.2</x:v>
      </x:c>
      <x:c r="I105" s="22" t="str">
        <x:f>HYPERLINK("https://etp-aktiv.ru/catalog/materialy/metalloprodukciya/2000140758-Y114/","Открыть позицию")</x:f>
        <x:v>Открыть позицию</x:v>
      </x:c>
    </x:row>
    <x:row r="106" ht="28" customHeight="1">
      <x:c r="A106" s="16" t="str">
        <x:v>Новосибирская ТЭЦ-5</x:v>
      </x:c>
      <x:c r="B106" s="16" t="str">
        <x:v>2000343141-Y114</x:v>
      </x:c>
      <x:c r="C106" s="16" t="str">
        <x:v>СЕТКА РАБИЦА 40*40*1,6ММ СТ3 ГОСТ5336-80</x:v>
      </x:c>
      <x:c r="D106" s="16" t="str">
        <x:v>Метизы специализированные и под заказ</x:v>
      </x:c>
      <x:c r="E106" s="16" t="str">
        <x:v>М</x:v>
      </x:c>
      <x:c r="F106" s="21" t="n">
        <x:v>60</x:v>
      </x:c>
      <x:c r="G106" s="17" t="n">
        <x:v>36.9782</x:v>
      </x:c>
      <x:c r="H106" s="17" t="n">
        <x:f>G106*F106</x:f>
        <x:v>2218.692</x:v>
      </x:c>
      <x:c r="I106" s="22" t="str">
        <x:f>HYPERLINK("https://etp-aktiv.ru/catalog/materialy/metizy/2000343141-Y114/","Открыть позицию")</x:f>
        <x:v>Открыть позицию</x:v>
      </x:c>
    </x:row>
    <x:row r="107" ht="28" customHeight="1">
      <x:c r="A107" s="16" t="str">
        <x:v>Новосибирская ТЭЦ-5</x:v>
      </x:c>
      <x:c r="B107" s="16" t="str">
        <x:v>2000988867-Y114</x:v>
      </x:c>
      <x:c r="C107" s="16" t="str">
        <x:v>СЕТКА СВАРНАЯ 25*25*2*1000 СТ3 ОЦ Г2715</x:v>
      </x:c>
      <x:c r="D107" s="16" t="str">
        <x:v>Метизы специализированные и под заказ</x:v>
      </x:c>
      <x:c r="E107" s="16" t="str">
        <x:v>М2</x:v>
      </x:c>
      <x:c r="F107" s="21" t="n">
        <x:v>32</x:v>
      </x:c>
      <x:c r="G107" s="17" t="n">
        <x:v>415.6418</x:v>
      </x:c>
      <x:c r="H107" s="17" t="n">
        <x:f>G107*F107</x:f>
        <x:v>13300.5376</x:v>
      </x:c>
      <x:c r="I107" s="22" t="str">
        <x:f>HYPERLINK("https://etp-aktiv.ru/catalog/materialy/metizy/2000988867-Y114/","Открыть позицию")</x:f>
        <x:v>Открыть позицию</x:v>
      </x:c>
    </x:row>
    <x:row r="108" ht="28" customHeight="1">
      <x:c r="A108" s="16" t="str">
        <x:v>Новосибирская ТЭЦ-5</x:v>
      </x:c>
      <x:c r="B108" s="16" t="str">
        <x:v>2000556297-Y114</x:v>
      </x:c>
      <x:c r="C108" s="16" t="str">
        <x:v>ФЛЮС ПВ209Х ПОРОШОК ГОСТ23178-78</x:v>
      </x:c>
      <x:c r="D108" s="16" t="str">
        <x:v>Металлопрокат цветной</x:v>
      </x:c>
      <x:c r="E108" s="16" t="str">
        <x:v>КГ</x:v>
      </x:c>
      <x:c r="F108" s="29" t="n">
        <x:v>0.89</x:v>
      </x:c>
      <x:c r="G108" s="17" t="n">
        <x:v>186.09879999999998</x:v>
      </x:c>
      <x:c r="H108" s="17" t="n">
        <x:f>G108*F108</x:f>
        <x:v>165.627932</x:v>
      </x:c>
      <x:c r="I108" s="22" t="str">
        <x:f>HYPERLINK("https://etp-aktiv.ru/catalog/materialy/metalloprodukciya/2000556297-Y114/","Открыть позицию")</x:f>
        <x:v>Открыть позицию</x:v>
      </x:c>
    </x:row>
    <x:row r="109" ht="28" customHeight="1">
      <x:c r="A109" s="16" t="str">
        <x:v>Новосибирская ТЭЦ-5</x:v>
      </x:c>
      <x:c r="B109" s="16" t="str">
        <x:v>2000530247-Y114</x:v>
      </x:c>
      <x:c r="C109" s="16" t="str">
        <x:v>ШАЙБА ПЛОСК А.4 01.СТ08КП 016 ГОСТ11371</x:v>
      </x:c>
      <x:c r="D109" s="16" t="str">
        <x:v>Метизы</x:v>
      </x:c>
      <x:c r="E109" s="16" t="str">
        <x:v>КГ</x:v>
      </x:c>
      <x:c r="F109" s="29" t="n">
        <x:v>0.32</x:v>
      </x:c>
      <x:c r="G109" s="17" t="n">
        <x:v>203.7034</x:v>
      </x:c>
      <x:c r="H109" s="17" t="n">
        <x:f>G109*F109</x:f>
        <x:v>65.185088</x:v>
      </x:c>
      <x:c r="I109" s="22" t="str">
        <x:f>HYPERLINK("https://etp-aktiv.ru/catalog/materialy/metizy/2000530247-Y114/","Открыть позицию")</x:f>
        <x:v>Открыть позицию</x:v>
      </x:c>
    </x:row>
    <x:row r="110" ht="28" customHeight="1">
      <x:c r="A110" s="16" t="str">
        <x:v>Новосибирская ТЭЦ-5</x:v>
      </x:c>
      <x:c r="B110" s="16" t="str">
        <x:v>2000530268-Y114</x:v>
      </x:c>
      <x:c r="C110" s="16" t="str">
        <x:v>ШАЙБА ПЛОСКАЯ А.5 01.СТ08КП ГОСТ11371</x:v>
      </x:c>
      <x:c r="D110" s="16" t="str">
        <x:v>Метизы</x:v>
      </x:c>
      <x:c r="E110" s="16" t="str">
        <x:v>КГ</x:v>
      </x:c>
      <x:c r="F110" s="29" t="n">
        <x:v>0.32</x:v>
      </x:c>
      <x:c r="G110" s="17" t="n">
        <x:v>141.398</x:v>
      </x:c>
      <x:c r="H110" s="17" t="n">
        <x:f>G110*F110</x:f>
        <x:v>45.24736</x:v>
      </x:c>
      <x:c r="I110" s="22" t="str">
        <x:f>HYPERLINK("https://etp-aktiv.ru/catalog/materialy/metizy/2000530268-Y114/","Открыть позицию")</x:f>
        <x:v>Открыть позицию</x:v>
      </x:c>
    </x:row>
    <x:row r="111" ht="28" customHeight="1">
      <x:c r="A111" s="16" t="str">
        <x:v>Новосибирская ТЭЦ-5</x:v>
      </x:c>
      <x:c r="B111" s="16" t="str">
        <x:v>2000468736-Y114</x:v>
      </x:c>
      <x:c r="C111" s="16" t="str">
        <x:v>ШАЙБА ПЛОСКАЯ М30 5,8 ОЦИНК DIN125</x:v>
      </x:c>
      <x:c r="D111" s="16" t="str">
        <x:v>Метизы</x:v>
      </x:c>
      <x:c r="E111" s="16" t="str">
        <x:v>КГ</x:v>
      </x:c>
      <x:c r="F111" s="21" t="n">
        <x:v>3</x:v>
      </x:c>
      <x:c r="G111" s="17" t="n">
        <x:v>229.3844</x:v>
      </x:c>
      <x:c r="H111" s="17" t="n">
        <x:f>G111*F111</x:f>
        <x:v>688.1532</x:v>
      </x:c>
      <x:c r="I111" s="22" t="str">
        <x:f>HYPERLINK("https://etp-aktiv.ru/catalog/materialy/metizy/2000468736-Y114/","Открыть позицию")</x:f>
        <x:v>Открыть позицию</x:v>
      </x:c>
    </x:row>
    <x:row r="112" ht="28" customHeight="1">
      <x:c r="A112" s="16" t="str">
        <x:v>Новосибирская теплосетевая компания</x:v>
      </x:c>
      <x:c r="B112" s="16" t="str">
        <x:v>2000718311-Y321</x:v>
      </x:c>
      <x:c r="C112" s="16" t="str">
        <x:v>ВОРОТА ВМС-4,5*1,4 3.017-3.5-00.00.00-01</x:v>
      </x:c>
      <x:c r="D112" s="16" t="str">
        <x:v>Металлоконструкции</x:v>
      </x:c>
      <x:c r="E112" s="16" t="str">
        <x:v>ШТ</x:v>
      </x:c>
      <x:c r="F112" s="21" t="n">
        <x:v>3</x:v>
      </x:c>
      <x:c r="G112" s="17" t="n">
        <x:v>2452.2</x:v>
      </x:c>
      <x:c r="H112" s="17" t="n">
        <x:f>G112*F112</x:f>
        <x:v>7356.599999999999</x:v>
      </x:c>
      <x:c r="I112" s="22" t="str">
        <x:f>HYPERLINK("https://etp-aktiv.ru/catalog/materialy/metallokonstrukcii/2000718311-Y321/","Открыть позицию")</x:f>
        <x:v>Открыть позицию</x:v>
      </x:c>
    </x:row>
    <x:row r="113" ht="28" customHeight="1">
      <x:c r="A113" s="16" t="str">
        <x:v>Новосибирская теплосетевая компания</x:v>
      </x:c>
      <x:c r="B113" s="16" t="str">
        <x:v>2000717868-Y321</x:v>
      </x:c>
      <x:c r="C113" s="16" t="str">
        <x:v>ИЗДЕЛИЕ ЗАКЛАДНОЕ МН114-3 С.1.400-15 В.1</x:v>
      </x:c>
      <x:c r="D113" s="16" t="str">
        <x:v>Металлоконструкции</x:v>
      </x:c>
      <x:c r="E113" s="16" t="str">
        <x:v>ШТ</x:v>
      </x:c>
      <x:c r="F113" s="21" t="n">
        <x:v>72</x:v>
      </x:c>
      <x:c r="G113" s="17" t="n">
        <x:v>65.88</x:v>
      </x:c>
      <x:c r="H113" s="17" t="n">
        <x:f>G113*F113</x:f>
        <x:v>4743.36</x:v>
      </x:c>
      <x:c r="I113" s="22" t="str">
        <x:f>HYPERLINK("https://etp-aktiv.ru/catalog/materialy/metallokonstrukcii/2000717868-Y321/","Открыть позицию")</x:f>
        <x:v>Открыть позицию</x:v>
      </x:c>
    </x:row>
    <x:row r="114" ht="28" customHeight="1">
      <x:c r="A114" s="16" t="str">
        <x:v>Новосибирская теплосетевая компания</x:v>
      </x:c>
      <x:c r="B114" s="16" t="str">
        <x:v>2000717869-Y321</x:v>
      </x:c>
      <x:c r="C114" s="16" t="str">
        <x:v>ИЗДЕЛИЕ ЗАКЛАДНОЕ МН118-6 С.1.400-15 В.1</x:v>
      </x:c>
      <x:c r="D114" s="16" t="str">
        <x:v>Металлоконструкции</x:v>
      </x:c>
      <x:c r="E114" s="16" t="str">
        <x:v>ШТ</x:v>
      </x:c>
      <x:c r="F114" s="21" t="n">
        <x:v>16</x:v>
      </x:c>
      <x:c r="G114" s="17" t="n">
        <x:v>76.86</x:v>
      </x:c>
      <x:c r="H114" s="17" t="n">
        <x:f>G114*F114</x:f>
        <x:v>1229.76</x:v>
      </x:c>
      <x:c r="I114" s="22" t="str">
        <x:f>HYPERLINK("https://etp-aktiv.ru/catalog/materialy/metallokonstrukcii/2000717869-Y321/","Открыть позицию")</x:f>
        <x:v>Открыть позицию</x:v>
      </x:c>
    </x:row>
    <x:row r="115" ht="28" customHeight="1">
      <x:c r="A115" s="16" t="str">
        <x:v>Новосибирская теплосетевая компания</x:v>
      </x:c>
      <x:c r="B115" s="16" t="str">
        <x:v>2000718040-Y321</x:v>
      </x:c>
      <x:c r="C115" s="16" t="str">
        <x:v>КАЛИТКА КМС0,85*1,4 3.017-3.5-10.0000-02</x:v>
      </x:c>
      <x:c r="D115" s="16" t="str">
        <x:v>Металлоконструкции</x:v>
      </x:c>
      <x:c r="E115" s="16" t="str">
        <x:v>ШТ</x:v>
      </x:c>
      <x:c r="F115" s="21" t="n">
        <x:v>3</x:v>
      </x:c>
      <x:c r="G115" s="17" t="n">
        <x:v>503.25</x:v>
      </x:c>
      <x:c r="H115" s="17" t="n">
        <x:f>G115*F115</x:f>
        <x:v>1509.75</x:v>
      </x:c>
      <x:c r="I115" s="22" t="str">
        <x:f>HYPERLINK("https://etp-aktiv.ru/catalog/materialy/metallokonstrukcii/2000718040-Y321/","Открыть позицию")</x:f>
        <x:v>Открыть позицию</x:v>
      </x:c>
    </x:row>
    <x:row r="116" ht="28" customHeight="1">
      <x:c r="A116" s="16" t="str">
        <x:v>Новосибирская теплосетевая компания</x:v>
      </x:c>
      <x:c r="B116" s="16" t="str">
        <x:v>2000683893-Y321</x:v>
      </x:c>
      <x:c r="C116" s="16" t="str">
        <x:v>КРЫШКА К1 D610ММ ТПР 902-09-22.84-КЖИ.К1</x:v>
      </x:c>
      <x:c r="D116" s="16" t="str">
        <x:v>Металлоконструкции</x:v>
      </x:c>
      <x:c r="E116" s="16" t="str">
        <x:v>ШТ</x:v>
      </x:c>
      <x:c r="F116" s="21" t="n">
        <x:v>27</x:v>
      </x:c>
      <x:c r="G116" s="17" t="n">
        <x:v>5929.2</x:v>
      </x:c>
      <x:c r="H116" s="17" t="n">
        <x:f>G116*F116</x:f>
        <x:v>160088.4</x:v>
      </x:c>
      <x:c r="I116" s="22" t="str">
        <x:f>HYPERLINK("https://etp-aktiv.ru/catalog/materialy/metallokonstrukcii/2000683893-Y321/","Открыть позицию")</x:f>
        <x:v>Открыть позицию</x:v>
      </x:c>
    </x:row>
    <x:row r="117" ht="28" customHeight="1">
      <x:c r="A117" s="16" t="str">
        <x:v>Новосибирская теплосетевая компания</x:v>
      </x:c>
      <x:c r="B117" s="16" t="str">
        <x:v>2000779030-Y321</x:v>
      </x:c>
      <x:c r="C117" s="16" t="str">
        <x:v>ЛИСТ Б-ПН-О СТ3СП5 10*100*200 ГОСТ19903</x:v>
      </x:c>
      <x:c r="D117" s="16" t="str">
        <x:v>Металлопрокат черный</x:v>
      </x:c>
      <x:c r="E117" s="16" t="str">
        <x:v>Т</x:v>
      </x:c>
      <x:c r="F117" s="29" t="n">
        <x:v>0.02</x:v>
      </x:c>
      <x:c r="G117" s="17" t="n">
        <x:v>18300</x:v>
      </x:c>
      <x:c r="H117" s="17" t="n">
        <x:f>G117*F117</x:f>
        <x:v>366</x:v>
      </x:c>
      <x:c r="I117" s="22" t="str">
        <x:f>HYPERLINK("https://etp-aktiv.ru/catalog/materialy/metalloprodukciya/2000779030-Y321/","Открыть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d6f1842de2a4311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Кабельно-проводниковая продукция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2000354029-Y115</x:v>
      </x:c>
      <x:c r="C5" s="16" t="str">
        <x:v>ЗАЗЕМЛЕНИЕ ПЕРЕНОСНОЕ ЗПП-110М 50ММ2</x:v>
      </x:c>
      <x:c r="D5" s="16" t="str">
        <x:v>Линейно-подвесная арматура</x:v>
      </x:c>
      <x:c r="E5" s="16" t="str">
        <x:v>ШТ</x:v>
      </x:c>
      <x:c r="F5" s="21" t="n">
        <x:v>2</x:v>
      </x:c>
      <x:c r="G5" s="17" t="n">
        <x:v>5978</x:v>
      </x:c>
      <x:c r="H5" s="17" t="n">
        <x:f>G5*F5</x:f>
        <x:v>11956</x:v>
      </x:c>
      <x:c r="I5" s="22" t="str">
        <x:f>HYPERLINK("https://etp-aktiv.ru/catalog/materialy/ehlektrotekhnicheskie-materialy/2000354029-Y115/","Открыть позицию")</x:f>
        <x:v>Открыть позицию</x:v>
      </x:c>
    </x:row>
    <x:row r="6" ht="28" customHeight="1">
      <x:c r="A6" s="16" t="str">
        <x:v>ИА СГК-Новосибирск</x:v>
      </x:c>
      <x:c r="B6" s="16" t="str">
        <x:v>2000532577-Y101</x:v>
      </x:c>
      <x:c r="C6" s="16" t="str">
        <x:v>КАРКАС НАМОТ ОП КАБ 130106-00032/К-03045</x:v>
      </x:c>
      <x:c r="D6" s="16" t="str">
        <x:v>Монтажные изделия для кабельной продукции</x:v>
      </x:c>
      <x:c r="E6" s="16" t="str">
        <x:v>ШТ</x:v>
      </x:c>
      <x:c r="F6" s="21" t="n">
        <x:v>2</x:v>
      </x:c>
      <x:c r="G6" s="17" t="n">
        <x:v>117.12</x:v>
      </x:c>
      <x:c r="H6" s="17" t="n">
        <x:f>G6*F6</x:f>
        <x:v>234.24</x:v>
      </x:c>
      <x:c r="I6" s="22" t="str">
        <x:f>HYPERLINK("https://etp-aktiv.ru/catalog/materialy/ehlektrotekhnicheskie-materialy/2000532577-Y101/","Открыть позицию")</x:f>
        <x:v>Открыть позицию</x:v>
      </x:c>
    </x:row>
    <x:row r="7" ht="28" customHeight="1">
      <x:c r="A7" s="16" t="str">
        <x:v>Новосибирская ТЭЦ-2</x:v>
      </x:c>
      <x:c r="B7" s="16" t="str">
        <x:v>2000777913-Y111</x:v>
      </x:c>
      <x:c r="C7" s="16" t="str">
        <x:v>КАБЕЛЬ ITK U/UTP LC1-C5E04-111 305М</x:v>
      </x:c>
      <x:c r="D7" s="16" t="str">
        <x:v>Расходные материалы</x:v>
      </x:c>
      <x:c r="E7" s="16" t="str">
        <x:v>ШТ</x:v>
      </x:c>
      <x:c r="F7" s="21" t="n">
        <x:v>1</x:v>
      </x:c>
      <x:c r="G7" s="17" t="n">
        <x:v>12258.7552</x:v>
      </x:c>
      <x:c r="H7" s="17" t="n">
        <x:f>G7*F7</x:f>
        <x:v>12258.7552</x:v>
      </x:c>
      <x:c r="I7" s="22" t="str">
        <x:f>HYPERLINK("https://etp-aktiv.ru/catalog/materialy/komplektuyushchie-i-zapasnye-chasti-k-kompyuternomu-i-ofisnomu-oborudovaniyu/2000777913-Y111/","Открыть позицию")</x:f>
        <x:v>Открыть позицию</x:v>
      </x:c>
    </x:row>
    <x:row r="8" ht="28" customHeight="1">
      <x:c r="A8" s="16" t="str">
        <x:v>Новосибирская ТЭЦ-2</x:v>
      </x:c>
      <x:c r="B8" s="16" t="str">
        <x:v>2000531003-Y111</x:v>
      </x:c>
      <x:c r="C8" s="16" t="str">
        <x:v>КАБЕЛЬ ААШВ 3*70 6КВ</x:v>
      </x:c>
      <x:c r="D8" s="16" t="str">
        <x:v>Кабель общепромышленный и провод</x:v>
      </x:c>
      <x:c r="E8" s="16" t="str">
        <x:v>КМ</x:v>
      </x:c>
      <x:c r="F8" s="29" t="n">
        <x:v>0.032</x:v>
      </x:c>
      <x:c r="G8" s="17" t="n">
        <x:v>743299.9694000001</x:v>
      </x:c>
      <x:c r="H8" s="17" t="n">
        <x:f>G8*F8</x:f>
        <x:v>23785.599020800004</x:v>
      </x:c>
      <x:c r="I8" s="22" t="str">
        <x:f>HYPERLINK("https://etp-aktiv.ru/catalog/materialy/kabelno-provodnikovaya-produkciya/2000531003-Y111/","Открыть позицию")</x:f>
        <x:v>Открыть позицию</x:v>
      </x:c>
    </x:row>
    <x:row r="9" ht="28" customHeight="1">
      <x:c r="A9" s="16" t="str">
        <x:v>Новосибирская ТЭЦ-2</x:v>
      </x:c>
      <x:c r="B9" s="16" t="str">
        <x:v>2000531566-Y111</x:v>
      </x:c>
      <x:c r="C9" s="16" t="str">
        <x:v>ПРОВОД БПВЛ 0,75</x:v>
      </x:c>
      <x:c r="D9" s="16" t="str">
        <x:v>Кабель общепромышленный и провод</x:v>
      </x:c>
      <x:c r="E9" s="16" t="str">
        <x:v>М</x:v>
      </x:c>
      <x:c r="F9" s="29" t="n">
        <x:v>0.032</x:v>
      </x:c>
      <x:c r="G9" s="17" t="n">
        <x:v>7.344399999999999</x:v>
      </x:c>
      <x:c r="H9" s="17" t="n">
        <x:f>G9*F9</x:f>
        <x:v>0.23502079999999997</x:v>
      </x:c>
      <x:c r="I9" s="22" t="str">
        <x:f>HYPERLINK("https://etp-aktiv.ru/catalog/materialy/kabelno-provodnikovaya-produkciya/2000531566-Y111/","Открыть позицию")</x:f>
        <x:v>Открыть позицию</x:v>
      </x:c>
    </x:row>
    <x:row r="10" ht="28" customHeight="1">
      <x:c r="A10" s="16" t="str">
        <x:v>Новосибирская ТЭЦ-2</x:v>
      </x:c>
      <x:c r="B10" s="16" t="str">
        <x:v>2000531572-Y111</x:v>
      </x:c>
      <x:c r="C10" s="16" t="str">
        <x:v>ПРОВОД КТМСЭ-ХА 2*1,3</x:v>
      </x:c>
      <x:c r="D10" s="16" t="str">
        <x:v>Запасные части и принадлежности для приборов КИПиА</x:v>
      </x:c>
      <x:c r="E10" s="16" t="str">
        <x:v>КМ</x:v>
      </x:c>
      <x:c r="F10" s="29" t="n">
        <x:v>0.04</x:v>
      </x:c>
      <x:c r="G10" s="17" t="n">
        <x:v>77763.5442</x:v>
      </x:c>
      <x:c r="H10" s="17" t="n">
        <x:f>G10*F10</x:f>
        <x:v>3110.541768</x:v>
      </x:c>
      <x:c r="I10" s="22" t="str">
        <x:f>HYPERLINK("https://etp-aktiv.ru/catalog/materialy/zapasnye-chasti-i-prinadlezhnosti-dlya-priborov-kipia/2000531572-Y111/","Открыть позицию")</x:f>
        <x:v>Открыть позицию</x:v>
      </x:c>
    </x:row>
    <x:row r="11" ht="28" customHeight="1">
      <x:c r="A11" s="16" t="str">
        <x:v>Новосибирская ТЭЦ-2</x:v>
      </x:c>
      <x:c r="B11" s="16" t="str">
        <x:v>2000006744-Y111</x:v>
      </x:c>
      <x:c r="C11" s="16" t="str">
        <x:v>ПРОВОД ПЭТВ-2 1,4</x:v>
      </x:c>
      <x:c r="D11" s="16" t="str">
        <x:v>Кабель общепромышленный и провод</x:v>
      </x:c>
      <x:c r="E11" s="16" t="str">
        <x:v>КГ</x:v>
      </x:c>
      <x:c r="F11" s="29" t="n">
        <x:v>0.7</x:v>
      </x:c>
      <x:c r="G11" s="17" t="n">
        <x:v>1372.7806</x:v>
      </x:c>
      <x:c r="H11" s="17" t="n">
        <x:f>G11*F11</x:f>
        <x:v>960.94642</x:v>
      </x:c>
      <x:c r="I11" s="22" t="str">
        <x:f>HYPERLINK("https://etp-aktiv.ru/catalog/materialy/kabelno-provodnikovaya-produkciya/2000006744-Y111/","Открыть позицию")</x:f>
        <x:v>Открыть позицию</x:v>
      </x:c>
    </x:row>
    <x:row r="12" ht="28" customHeight="1">
      <x:c r="A12" s="16" t="str">
        <x:v>Новосибирская ТЭЦ-3</x:v>
      </x:c>
      <x:c r="B12" s="16" t="str">
        <x:v>2000548223-Y112</x:v>
      </x:c>
      <x:c r="C12" s="16" t="str">
        <x:v>БУМАГА КАБЕЛЬНАЯ К-120 113-127МКМ</x:v>
      </x:c>
      <x:c r="D12" s="16" t="str">
        <x:v>Электроизоляционные материалы</x:v>
      </x:c>
      <x:c r="E12" s="16" t="str">
        <x:v>КГ</x:v>
      </x:c>
      <x:c r="F12" s="30" t="n">
        <x:v>5.6</x:v>
      </x:c>
      <x:c r="G12" s="17" t="n">
        <x:v>1645.0846000000001</x:v>
      </x:c>
      <x:c r="H12" s="17" t="n">
        <x:f>G12*F12</x:f>
        <x:v>9212.47376</x:v>
      </x:c>
      <x:c r="I12" s="22" t="str">
        <x:f>HYPERLINK("https://etp-aktiv.ru/catalog/materialy/ehlektroizolyacionnye-materialy/2000548223-Y112/","Открыть позицию")</x:f>
        <x:v>Открыть позицию</x:v>
      </x:c>
    </x:row>
    <x:row r="13" ht="28" customHeight="1">
      <x:c r="A13" s="16" t="str">
        <x:v>Новосибирская ТЭЦ-3</x:v>
      </x:c>
      <x:c r="B13" s="16" t="str">
        <x:v>2000531031-Y112</x:v>
      </x:c>
      <x:c r="C13" s="16" t="str">
        <x:v>КАБЕЛЬ АВВГ 3*10+1*6 1КВ</x:v>
      </x:c>
      <x:c r="D13" s="16" t="str">
        <x:v>Кабель общепромышленный и провод</x:v>
      </x:c>
      <x:c r="E13" s="16" t="str">
        <x:v>КМ</x:v>
      </x:c>
      <x:c r="F13" s="29" t="n">
        <x:v>0.03</x:v>
      </x:c>
      <x:c r="G13" s="17" t="n">
        <x:v>59490.2134</x:v>
      </x:c>
      <x:c r="H13" s="17" t="n">
        <x:f>G13*F13</x:f>
        <x:v>1784.706402</x:v>
      </x:c>
      <x:c r="I13" s="22" t="str">
        <x:f>HYPERLINK("https://etp-aktiv.ru/catalog/materialy/kabelno-provodnikovaya-produkciya/2000531031-Y112/","Открыть позицию")</x:f>
        <x:v>Открыть позицию</x:v>
      </x:c>
    </x:row>
    <x:row r="14" ht="28" customHeight="1">
      <x:c r="A14" s="16" t="str">
        <x:v>Новосибирская ТЭЦ-3</x:v>
      </x:c>
      <x:c r="B14" s="16" t="str">
        <x:v>2000067013-Y112</x:v>
      </x:c>
      <x:c r="C14" s="16" t="str">
        <x:v>КАБЕЛЬ ВВГНГ 2*1,5 0,66КВ</x:v>
      </x:c>
      <x:c r="D14" s="16" t="str">
        <x:v>Кабель общепромышленный и провод</x:v>
      </x:c>
      <x:c r="E14" s="16" t="str">
        <x:v>КМ</x:v>
      </x:c>
      <x:c r="F14" s="29" t="n">
        <x:v>0.02</x:v>
      </x:c>
      <x:c r="G14" s="17" t="n">
        <x:v>80520</x:v>
      </x:c>
      <x:c r="H14" s="17" t="n">
        <x:f>G14*F14</x:f>
        <x:v>1610.4</x:v>
      </x:c>
      <x:c r="I14" s="22" t="str">
        <x:f>HYPERLINK("https://etp-aktiv.ru/catalog/materialy/kabelno-provodnikovaya-produkciya/2000067013-Y112/","Открыть позицию")</x:f>
        <x:v>Открыть позицию</x:v>
      </x:c>
    </x:row>
    <x:row r="15" ht="28" customHeight="1">
      <x:c r="A15" s="16" t="str">
        <x:v>Новосибирская ТЭЦ-3</x:v>
      </x:c>
      <x:c r="B15" s="16" t="str">
        <x:v>2000531223-Y112</x:v>
      </x:c>
      <x:c r="C15" s="16" t="str">
        <x:v>КАБЕЛЬ ВВГНГ-LS 3*4 1КВ</x:v>
      </x:c>
      <x:c r="D15" s="16" t="str">
        <x:v>Кабель общепромышленный и провод</x:v>
      </x:c>
      <x:c r="E15" s="16" t="str">
        <x:v>КМ</x:v>
      </x:c>
      <x:c r="F15" s="29" t="n">
        <x:v>0.03</x:v>
      </x:c>
      <x:c r="G15" s="17" t="n">
        <x:v>184525</x:v>
      </x:c>
      <x:c r="H15" s="17" t="n">
        <x:f>G15*F15</x:f>
        <x:v>5535.75</x:v>
      </x:c>
      <x:c r="I15" s="22" t="str">
        <x:f>HYPERLINK("https://etp-aktiv.ru/catalog/materialy/kabelno-provodnikovaya-produkciya/2000531223-Y112/","Открыть позицию")</x:f>
        <x:v>Открыть позицию</x:v>
      </x:c>
    </x:row>
    <x:row r="16" ht="28" customHeight="1">
      <x:c r="A16" s="16" t="str">
        <x:v>Новосибирская ТЭЦ-3</x:v>
      </x:c>
      <x:c r="B16" s="16" t="str">
        <x:v>2000691711-Y112</x:v>
      </x:c>
      <x:c r="C16" s="16" t="str">
        <x:v>КАБЕЛЬ ККМСЭ-ХА 2*0,75 0,66КВ</x:v>
      </x:c>
      <x:c r="D16" s="16" t="str">
        <x:v>Запасные части и принадлежности для приборов КИПиА</x:v>
      </x:c>
      <x:c r="E16" s="16" t="str">
        <x:v>КМ</x:v>
      </x:c>
      <x:c r="F16" s="29" t="n">
        <x:v>0.01</x:v>
      </x:c>
      <x:c r="G16" s="17" t="n">
        <x:v>54028.2734</x:v>
      </x:c>
      <x:c r="H16" s="17" t="n">
        <x:f>G16*F16</x:f>
        <x:v>540.282734</x:v>
      </x:c>
      <x:c r="I16" s="22" t="str">
        <x:f>HYPERLINK("https://etp-aktiv.ru/catalog/materialy/zapasnye-chasti-i-prinadlezhnosti-dlya-priborov-kipia/2000691711-Y112/","Открыть позицию")</x:f>
        <x:v>Открыть позицию</x:v>
      </x:c>
    </x:row>
    <x:row r="17" ht="28" customHeight="1">
      <x:c r="A17" s="16" t="str">
        <x:v>Новосибирская ТЭЦ-3</x:v>
      </x:c>
      <x:c r="B17" s="16" t="str">
        <x:v>2000031875-Y112</x:v>
      </x:c>
      <x:c r="C17" s="16" t="str">
        <x:v>НАКОНЕЧНИК МЕДНЫЙ Т 35-8-9</x:v>
      </x:c>
      <x:c r="D17" s="16" t="str">
        <x:v>Монтажные изделия для кабельной продукции</x:v>
      </x:c>
      <x:c r="E17" s="16" t="str">
        <x:v>ШТ</x:v>
      </x:c>
      <x:c r="F17" s="21" t="n">
        <x:v>48</x:v>
      </x:c>
      <x:c r="G17" s="17" t="n">
        <x:v>57.217999999999996</x:v>
      </x:c>
      <x:c r="H17" s="17" t="n">
        <x:f>G17*F17</x:f>
        <x:v>2746.464</x:v>
      </x:c>
      <x:c r="I17" s="22" t="str">
        <x:f>HYPERLINK("https://etp-aktiv.ru/catalog/materialy/ehlektrotekhnicheskie-materialy/2000031875-Y112/","Открыть позицию")</x:f>
        <x:v>Открыть позицию</x:v>
      </x:c>
    </x:row>
    <x:row r="18" ht="28" customHeight="1">
      <x:c r="A18" s="16" t="str">
        <x:v>Новосибирская ТЭЦ-3</x:v>
      </x:c>
      <x:c r="B18" s="16" t="str">
        <x:v>2000483622-Y112</x:v>
      </x:c>
      <x:c r="C18" s="16" t="str">
        <x:v>НАКОНЕЧНИК МЕДНЫЙ ТМЛ-120-12-13</x:v>
      </x:c>
      <x:c r="D18" s="16" t="str">
        <x:v>Монтажные изделия для кабельной продукции</x:v>
      </x:c>
      <x:c r="E18" s="16" t="str">
        <x:v>ШТ</x:v>
      </x:c>
      <x:c r="F18" s="21" t="n">
        <x:v>6</x:v>
      </x:c>
      <x:c r="G18" s="17" t="n">
        <x:v>754.1186</x:v>
      </x:c>
      <x:c r="H18" s="17" t="n">
        <x:f>G18*F18</x:f>
        <x:v>4524.7116000000005</x:v>
      </x:c>
      <x:c r="I18" s="22" t="str">
        <x:f>HYPERLINK("https://etp-aktiv.ru/catalog/materialy/ehlektrotekhnicheskie-materialy/2000483622-Y112/","Открыть позицию")</x:f>
        <x:v>Открыть позицию</x:v>
      </x:c>
    </x:row>
    <x:row r="19" ht="28" customHeight="1">
      <x:c r="A19" s="16" t="str">
        <x:v>Новосибирская ТЭЦ-3</x:v>
      </x:c>
      <x:c r="B19" s="16" t="str">
        <x:v>2000531565-Y112</x:v>
      </x:c>
      <x:c r="C19" s="16" t="str">
        <x:v>ПРОВОД БПВЛ 0,5</x:v>
      </x:c>
      <x:c r="D19" s="16" t="str">
        <x:v>Кабель общепромышленный и провод</x:v>
      </x:c>
      <x:c r="E19" s="16" t="str">
        <x:v>М</x:v>
      </x:c>
      <x:c r="F19" s="21" t="n">
        <x:v>32</x:v>
      </x:c>
      <x:c r="G19" s="17" t="n">
        <x:v>6.039</x:v>
      </x:c>
      <x:c r="H19" s="17" t="n">
        <x:f>G19*F19</x:f>
        <x:v>193.248</x:v>
      </x:c>
      <x:c r="I19" s="22" t="str">
        <x:f>HYPERLINK("https://etp-aktiv.ru/catalog/materialy/kabelno-provodnikovaya-produkciya/2000531565-Y112/","Открыть позицию")</x:f>
        <x:v>Открыть позицию</x:v>
      </x:c>
    </x:row>
    <x:row r="20" ht="28" customHeight="1">
      <x:c r="A20" s="16" t="str">
        <x:v>Новосибирская ТЭЦ-3</x:v>
      </x:c>
      <x:c r="B20" s="16" t="str">
        <x:v>2000013681-Y112</x:v>
      </x:c>
      <x:c r="C20" s="16" t="str">
        <x:v>ПРОВОД БПВЛ 1</x:v>
      </x:c>
      <x:c r="D20" s="16" t="str">
        <x:v>Кабель общепромышленный и провод</x:v>
      </x:c>
      <x:c r="E20" s="16" t="str">
        <x:v>КМ</x:v>
      </x:c>
      <x:c r="F20" s="29" t="n">
        <x:v>0.015</x:v>
      </x:c>
      <x:c r="G20" s="17" t="n">
        <x:v>11071.5</x:v>
      </x:c>
      <x:c r="H20" s="17" t="n">
        <x:f>G20*F20</x:f>
        <x:v>166.0725</x:v>
      </x:c>
      <x:c r="I20" s="22" t="str">
        <x:f>HYPERLINK("https://etp-aktiv.ru/catalog/materialy/kabelno-provodnikovaya-produkciya/2000013681-Y112/","Открыть позицию")</x:f>
        <x:v>Открыть позицию</x:v>
      </x:c>
    </x:row>
    <x:row r="21" ht="28" customHeight="1">
      <x:c r="A21" s="16" t="str">
        <x:v>Новосибирская ТЭЦ-3</x:v>
      </x:c>
      <x:c r="B21" s="16" t="str">
        <x:v>2000067450-Y112</x:v>
      </x:c>
      <x:c r="C21" s="16" t="str">
        <x:v>ПРОВОД БПВЛ 10</x:v>
      </x:c>
      <x:c r="D21" s="16" t="str">
        <x:v>Кабель общепромышленный и провод</x:v>
      </x:c>
      <x:c r="E21" s="16" t="str">
        <x:v>КМ</x:v>
      </x:c>
      <x:c r="F21" s="29" t="n">
        <x:v>0.015</x:v>
      </x:c>
      <x:c r="G21" s="17" t="n">
        <x:v>85217</x:v>
      </x:c>
      <x:c r="H21" s="17" t="n">
        <x:f>G21*F21</x:f>
        <x:v>1278.2549999999999</x:v>
      </x:c>
      <x:c r="I21" s="22" t="str">
        <x:f>HYPERLINK("https://etp-aktiv.ru/catalog/materialy/kabelno-provodnikovaya-produkciya/2000067450-Y112/","Открыть позицию")</x:f>
        <x:v>Открыть позицию</x:v>
      </x:c>
    </x:row>
    <x:row r="22" ht="28" customHeight="1">
      <x:c r="A22" s="16" t="str">
        <x:v>Новосибирская ТЭЦ-3</x:v>
      </x:c>
      <x:c r="B22" s="16" t="str">
        <x:v>2000017047-Y112</x:v>
      </x:c>
      <x:c r="C22" s="16" t="str">
        <x:v>ПРОВОД БПВЛ 16</x:v>
      </x:c>
      <x:c r="D22" s="16" t="str">
        <x:v>Кабель общепромышленный и провод</x:v>
      </x:c>
      <x:c r="E22" s="16" t="str">
        <x:v>КМ</x:v>
      </x:c>
      <x:c r="F22" s="29" t="n">
        <x:v>0.08</x:v>
      </x:c>
      <x:c r="G22" s="17" t="n">
        <x:v>201000.002</x:v>
      </x:c>
      <x:c r="H22" s="17" t="n">
        <x:f>G22*F22</x:f>
        <x:v>16080.000160000001</x:v>
      </x:c>
      <x:c r="I22" s="22" t="str">
        <x:f>HYPERLINK("https://etp-aktiv.ru/catalog/materialy/kabelno-provodnikovaya-produkciya/2000017047-Y112/","Открыть позицию")</x:f>
        <x:v>Открыть позицию</x:v>
      </x:c>
    </x:row>
    <x:row r="23" ht="28" customHeight="1">
      <x:c r="A23" s="16" t="str">
        <x:v>Новосибирская ТЭЦ-3</x:v>
      </x:c>
      <x:c r="B23" s="16" t="str">
        <x:v>2000017637-Y112</x:v>
      </x:c>
      <x:c r="C23" s="16" t="str">
        <x:v>ПРОВОД БПВЛ 35</x:v>
      </x:c>
      <x:c r="D23" s="16" t="str">
        <x:v>Кабель общепромышленный и провод</x:v>
      </x:c>
      <x:c r="E23" s="16" t="str">
        <x:v>КМ</x:v>
      </x:c>
      <x:c r="F23" s="29" t="n">
        <x:v>0.06</x:v>
      </x:c>
      <x:c r="G23" s="17" t="n">
        <x:v>249612</x:v>
      </x:c>
      <x:c r="H23" s="17" t="n">
        <x:f>G23*F23</x:f>
        <x:v>14976.72</x:v>
      </x:c>
      <x:c r="I23" s="22" t="str">
        <x:f>HYPERLINK("https://etp-aktiv.ru/catalog/materialy/kabelno-provodnikovaya-produkciya/2000017637-Y112/","Открыть позицию")</x:f>
        <x:v>Открыть позицию</x:v>
      </x:c>
    </x:row>
    <x:row r="24" ht="28" customHeight="1">
      <x:c r="A24" s="16" t="str">
        <x:v>Новосибирская ТЭЦ-3</x:v>
      </x:c>
      <x:c r="B24" s="16" t="str">
        <x:v>2000015355-Y112</x:v>
      </x:c>
      <x:c r="C24" s="16" t="str">
        <x:v>ПРОВОД БПВЛ 4</x:v>
      </x:c>
      <x:c r="D24" s="16" t="str">
        <x:v>Кабель общепромышленный и провод</x:v>
      </x:c>
      <x:c r="E24" s="16" t="str">
        <x:v>КМ</x:v>
      </x:c>
      <x:c r="F24" s="29" t="n">
        <x:v>0.07</x:v>
      </x:c>
      <x:c r="G24" s="17" t="n">
        <x:v>33550</x:v>
      </x:c>
      <x:c r="H24" s="17" t="n">
        <x:f>G24*F24</x:f>
        <x:v>2348.5</x:v>
      </x:c>
      <x:c r="I24" s="22" t="str">
        <x:f>HYPERLINK("https://etp-aktiv.ru/catalog/materialy/kabelno-provodnikovaya-produkciya/2000015355-Y112/","Открыть позицию")</x:f>
        <x:v>Открыть позицию</x:v>
      </x:c>
    </x:row>
    <x:row r="25" ht="28" customHeight="1">
      <x:c r="A25" s="16" t="str">
        <x:v>Новосибирская ТЭЦ-3</x:v>
      </x:c>
      <x:c r="B25" s="16" t="str">
        <x:v>2000067453-Y112</x:v>
      </x:c>
      <x:c r="C25" s="16" t="str">
        <x:v>ПРОВОД БПВЛ 70</x:v>
      </x:c>
      <x:c r="D25" s="16" t="str">
        <x:v>Кабель общепромышленный и провод</x:v>
      </x:c>
      <x:c r="E25" s="16" t="str">
        <x:v>КМ</x:v>
      </x:c>
      <x:c r="F25" s="29" t="n">
        <x:v>0.043</x:v>
      </x:c>
      <x:c r="G25" s="17" t="n">
        <x:v>466345</x:v>
      </x:c>
      <x:c r="H25" s="17" t="n">
        <x:f>G25*F25</x:f>
        <x:v>20052.835</x:v>
      </x:c>
      <x:c r="I25" s="22" t="str">
        <x:f>HYPERLINK("https://etp-aktiv.ru/catalog/materialy/kabelno-provodnikovaya-produkciya/2000067453-Y112/","Открыть позицию")</x:f>
        <x:v>Открыть позицию</x:v>
      </x:c>
    </x:row>
    <x:row r="26" ht="28" customHeight="1">
      <x:c r="A26" s="16" t="str">
        <x:v>Новосибирская ТЭЦ-3</x:v>
      </x:c>
      <x:c r="B26" s="16" t="str">
        <x:v>2000007189-Y112</x:v>
      </x:c>
      <x:c r="C26" s="16" t="str">
        <x:v>ПРОВОД ПЭТВ-2 0,38</x:v>
      </x:c>
      <x:c r="D26" s="16" t="str">
        <x:v>Кабель общепромышленный и провод</x:v>
      </x:c>
      <x:c r="E26" s="16" t="str">
        <x:v>КГ</x:v>
      </x:c>
      <x:c r="F26" s="30" t="n">
        <x:v>11.65</x:v>
      </x:c>
      <x:c r="G26" s="17" t="n">
        <x:v>1790.4353999999998</x:v>
      </x:c>
      <x:c r="H26" s="17" t="n">
        <x:f>G26*F26</x:f>
        <x:v>20858.572409999997</x:v>
      </x:c>
      <x:c r="I26" s="22" t="str">
        <x:f>HYPERLINK("https://etp-aktiv.ru/catalog/materialy/kabelno-provodnikovaya-produkciya/2000007189-Y112/","Открыть позицию")</x:f>
        <x:v>Открыть позицию</x:v>
      </x:c>
    </x:row>
    <x:row r="27" ht="28" customHeight="1">
      <x:c r="A27" s="16" t="str">
        <x:v>Новосибирская ТЭЦ-3</x:v>
      </x:c>
      <x:c r="B27" s="16" t="str">
        <x:v>2000006784-Y112</x:v>
      </x:c>
      <x:c r="C27" s="16" t="str">
        <x:v>ПРОВОД ПЭТВ-2 0,8</x:v>
      </x:c>
      <x:c r="D27" s="16" t="str">
        <x:v>Кабель общепромышленный и провод</x:v>
      </x:c>
      <x:c r="E27" s="16" t="str">
        <x:v>КГ</x:v>
      </x:c>
      <x:c r="F27" s="21" t="n">
        <x:v>0</x:v>
      </x:c>
      <x:c r="G27" s="17" t="n">
        <x:v>1089.033</x:v>
      </x:c>
      <x:c r="H27" s="17" t="n">
        <x:f>G27*F27</x:f>
        <x:v>0</x:v>
      </x:c>
      <x:c r="I27" s="22" t="str">
        <x:f>HYPERLINK("https://etp-aktiv.ru/catalog/materialy/kabelno-provodnikovaya-produkciya/2000006784-Y112/","Открыть позицию")</x:f>
        <x:v>Открыть позицию</x:v>
      </x:c>
    </x:row>
    <x:row r="28" ht="28" customHeight="1">
      <x:c r="A28" s="16" t="str">
        <x:v>Новосибирская ТЭЦ-3</x:v>
      </x:c>
      <x:c r="B28" s="16" t="str">
        <x:v>2000006783-Y112</x:v>
      </x:c>
      <x:c r="C28" s="16" t="str">
        <x:v>ПРОВОД ПЭТВ-2 0,85</x:v>
      </x:c>
      <x:c r="D28" s="16" t="str">
        <x:v>Кабель общепромышленный и провод</x:v>
      </x:c>
      <x:c r="E28" s="16" t="str">
        <x:v>КГ</x:v>
      </x:c>
      <x:c r="F28" s="21" t="n">
        <x:v>0</x:v>
      </x:c>
      <x:c r="G28" s="17" t="n">
        <x:v>1012.5268000000001</x:v>
      </x:c>
      <x:c r="H28" s="17" t="n">
        <x:f>G28*F28</x:f>
        <x:v>0</x:v>
      </x:c>
      <x:c r="I28" s="22" t="str">
        <x:f>HYPERLINK("https://etp-aktiv.ru/catalog/materialy/kabelno-provodnikovaya-produkciya/2000006783-Y112/","Открыть позицию")</x:f>
        <x:v>Открыть позицию</x:v>
      </x:c>
    </x:row>
    <x:row r="29" ht="28" customHeight="1">
      <x:c r="A29" s="16" t="str">
        <x:v>Новосибирская ТЭЦ-3</x:v>
      </x:c>
      <x:c r="B29" s="16" t="str">
        <x:v>2000006758-Y112</x:v>
      </x:c>
      <x:c r="C29" s="16" t="str">
        <x:v>ПРОВОД ПЭТВ-2 0,95</x:v>
      </x:c>
      <x:c r="D29" s="16" t="str">
        <x:v>Кабель общепромышленный и провод</x:v>
      </x:c>
      <x:c r="E29" s="16" t="str">
        <x:v>КГ</x:v>
      </x:c>
      <x:c r="F29" s="21" t="n">
        <x:v>0</x:v>
      </x:c>
      <x:c r="G29" s="17" t="n">
        <x:v>1092.0952</x:v>
      </x:c>
      <x:c r="H29" s="17" t="n">
        <x:f>G29*F29</x:f>
        <x:v>0</x:v>
      </x:c>
      <x:c r="I29" s="22" t="str">
        <x:f>HYPERLINK("https://etp-aktiv.ru/catalog/materialy/kabelno-provodnikovaya-produkciya/2000006758-Y112/","Открыть позицию")</x:f>
        <x:v>Открыть позицию</x:v>
      </x:c>
    </x:row>
    <x:row r="30" ht="28" customHeight="1">
      <x:c r="A30" s="16" t="str">
        <x:v>Новосибирская ТЭЦ-3</x:v>
      </x:c>
      <x:c r="B30" s="16" t="str">
        <x:v>2000006428-Y112</x:v>
      </x:c>
      <x:c r="C30" s="16" t="str">
        <x:v>ПРОВОД ПЭТВ-2 1,08</x:v>
      </x:c>
      <x:c r="D30" s="16" t="str">
        <x:v>Кабель общепромышленный и провод</x:v>
      </x:c>
      <x:c r="E30" s="16" t="str">
        <x:v>КГ</x:v>
      </x:c>
      <x:c r="F30" s="21" t="n">
        <x:v>0</x:v>
      </x:c>
      <x:c r="G30" s="17" t="n">
        <x:v>972.9866</x:v>
      </x:c>
      <x:c r="H30" s="17" t="n">
        <x:f>G30*F30</x:f>
        <x:v>0</x:v>
      </x:c>
      <x:c r="I30" s="22" t="str">
        <x:f>HYPERLINK("https://etp-aktiv.ru/catalog/materialy/kabelno-provodnikovaya-produkciya/2000006428-Y112/","Открыть позицию")</x:f>
        <x:v>Открыть позицию</x:v>
      </x:c>
    </x:row>
    <x:row r="31" ht="28" customHeight="1">
      <x:c r="A31" s="16" t="str">
        <x:v>Новосибирская ТЭЦ-3</x:v>
      </x:c>
      <x:c r="B31" s="16" t="str">
        <x:v>2000006767-Y112</x:v>
      </x:c>
      <x:c r="C31" s="16" t="str">
        <x:v>ПРОВОД ПЭТВ-2 1,18</x:v>
      </x:c>
      <x:c r="D31" s="16" t="str">
        <x:v>Кабель общепромышленный и провод</x:v>
      </x:c>
      <x:c r="E31" s="16" t="str">
        <x:v>КГ</x:v>
      </x:c>
      <x:c r="F31" s="21" t="n">
        <x:v>0</x:v>
      </x:c>
      <x:c r="G31" s="17" t="n">
        <x:v>1018.6878</x:v>
      </x:c>
      <x:c r="H31" s="17" t="n">
        <x:f>G31*F31</x:f>
        <x:v>0</x:v>
      </x:c>
      <x:c r="I31" s="22" t="str">
        <x:f>HYPERLINK("https://etp-aktiv.ru/catalog/materialy/kabelno-provodnikovaya-produkciya/2000006767-Y112/","Открыть позицию")</x:f>
        <x:v>Открыть позицию</x:v>
      </x:c>
    </x:row>
    <x:row r="32" ht="28" customHeight="1">
      <x:c r="A32" s="16" t="str">
        <x:v>Новосибирская ТЭЦ-3</x:v>
      </x:c>
      <x:c r="B32" s="16" t="str">
        <x:v>2000006422-Y112</x:v>
      </x:c>
      <x:c r="C32" s="16" t="str">
        <x:v>ПРОВОД ПЭТВ-2 1,56</x:v>
      </x:c>
      <x:c r="D32" s="16" t="str">
        <x:v>Кабель общепромышленный и провод</x:v>
      </x:c>
      <x:c r="E32" s="16" t="str">
        <x:v>КГ</x:v>
      </x:c>
      <x:c r="F32" s="21" t="n">
        <x:v>0</x:v>
      </x:c>
      <x:c r="G32" s="17" t="n">
        <x:v>1001.01</x:v>
      </x:c>
      <x:c r="H32" s="17" t="n">
        <x:f>G32*F32</x:f>
        <x:v>0</x:v>
      </x:c>
      <x:c r="I32" s="22" t="str">
        <x:f>HYPERLINK("https://etp-aktiv.ru/catalog/materialy/kabelno-provodnikovaya-produkciya/2000006422-Y112/","Открыть позицию")</x:f>
        <x:v>Открыть позицию</x:v>
      </x:c>
    </x:row>
    <x:row r="33" ht="28" customHeight="1">
      <x:c r="A33" s="16" t="str">
        <x:v>Новосибирская ТЭЦ-4</x:v>
      </x:c>
      <x:c r="B33" s="16" t="str">
        <x:v>2000022710-Y113</x:v>
      </x:c>
      <x:c r="C33" s="16" t="str">
        <x:v>ГИЛЬЗА ГМ 50-11</x:v>
      </x:c>
      <x:c r="D33" s="16" t="str">
        <x:v>Монтажные изделия для кабельной продукции</x:v>
      </x:c>
      <x:c r="E33" s="16" t="str">
        <x:v>ШТ</x:v>
      </x:c>
      <x:c r="F33" s="21" t="n">
        <x:v>37</x:v>
      </x:c>
      <x:c r="G33" s="17" t="n">
        <x:v>17.323999999999998</x:v>
      </x:c>
      <x:c r="H33" s="17" t="n">
        <x:f>G33*F33</x:f>
        <x:v>640.9879999999999</x:v>
      </x:c>
      <x:c r="I33" s="22" t="str">
        <x:f>HYPERLINK("https://etp-aktiv.ru/catalog/materialy/ehlektrotekhnicheskie-materialy/2000022710-Y113/","Открыть позицию")</x:f>
        <x:v>Открыть позицию</x:v>
      </x:c>
    </x:row>
    <x:row r="34" ht="28" customHeight="1">
      <x:c r="A34" s="16" t="str">
        <x:v>Новосибирская ТЭЦ-4</x:v>
      </x:c>
      <x:c r="B34" s="16" t="str">
        <x:v>2000022730-Y113</x:v>
      </x:c>
      <x:c r="C34" s="16" t="str">
        <x:v>ГИЛЬЗА МЕДНАЯ ГМ 120*17</x:v>
      </x:c>
      <x:c r="D34" s="16" t="str">
        <x:v>Монтажные изделия для кабельной продукции</x:v>
      </x:c>
      <x:c r="E34" s="16" t="str">
        <x:v>ШТ</x:v>
      </x:c>
      <x:c r="F34" s="21" t="n">
        <x:v>20</x:v>
      </x:c>
      <x:c r="G34" s="17" t="n">
        <x:v>51.972</x:v>
      </x:c>
      <x:c r="H34" s="17" t="n">
        <x:f>G34*F34</x:f>
        <x:v>1039.44</x:v>
      </x:c>
      <x:c r="I34" s="22" t="str">
        <x:f>HYPERLINK("https://etp-aktiv.ru/catalog/materialy/ehlektrotekhnicheskie-materialy/2000022730-Y113/","Открыть позицию")</x:f>
        <x:v>Открыть позицию</x:v>
      </x:c>
    </x:row>
    <x:row r="35" ht="28" customHeight="1">
      <x:c r="A35" s="16" t="str">
        <x:v>Новосибирская ТЭЦ-4</x:v>
      </x:c>
      <x:c r="B35" s="16" t="str">
        <x:v>2000532750-Y113</x:v>
      </x:c>
      <x:c r="C35" s="16" t="str">
        <x:v>МЕТАЛЛОРУКАВ В ПВХ-ОБОЛОЧКЕ МРПИ НГ 50ММ</x:v>
      </x:c>
      <x:c r="D35" s="16" t="str">
        <x:v>Монтажные изделия для кабельной продукции</x:v>
      </x:c>
      <x:c r="E35" s="16" t="str">
        <x:v>ШТ</x:v>
      </x:c>
      <x:c r="F35" s="21" t="n">
        <x:v>1</x:v>
      </x:c>
      <x:c r="G35" s="17" t="n">
        <x:v>329.4488</x:v>
      </x:c>
      <x:c r="H35" s="17" t="n">
        <x:f>G35*F35</x:f>
        <x:v>329.4488</x:v>
      </x:c>
      <x:c r="I35" s="22" t="str">
        <x:f>HYPERLINK("https://etp-aktiv.ru/catalog/materialy/ehlektrotekhnicheskie-materialy/2000532750-Y113/","Открыть позицию")</x:f>
        <x:v>Открыть позицию</x:v>
      </x:c>
    </x:row>
    <x:row r="36" ht="28" customHeight="1">
      <x:c r="A36" s="16" t="str">
        <x:v>Новосибирская ТЭЦ-4</x:v>
      </x:c>
      <x:c r="B36" s="16" t="str">
        <x:v>2000013654-Y113</x:v>
      </x:c>
      <x:c r="C36" s="16" t="str">
        <x:v>ПРОВОД ПВ-1 2,5</x:v>
      </x:c>
      <x:c r="D36" s="16" t="str">
        <x:v>Кабель общепромышленный и провод</x:v>
      </x:c>
      <x:c r="E36" s="16" t="str">
        <x:v>КМ</x:v>
      </x:c>
      <x:c r="F36" s="29" t="n">
        <x:v>0.596</x:v>
      </x:c>
      <x:c r="G36" s="17" t="n">
        <x:v>20130</x:v>
      </x:c>
      <x:c r="H36" s="17" t="n">
        <x:f>G36*F36</x:f>
        <x:v>11997.48</x:v>
      </x:c>
      <x:c r="I36" s="22" t="str">
        <x:f>HYPERLINK("https://etp-aktiv.ru/catalog/materialy/kabelno-provodnikovaya-produkciya/2000013654-Y113/","Открыть позицию")</x:f>
        <x:v>Открыть позицию</x:v>
      </x:c>
    </x:row>
    <x:row r="37" ht="28" customHeight="1">
      <x:c r="A37" s="16" t="str">
        <x:v>Новосибирская ТЭЦ-4</x:v>
      </x:c>
      <x:c r="B37" s="16" t="str">
        <x:v>2000014475-Y113</x:v>
      </x:c>
      <x:c r="C37" s="16" t="str">
        <x:v>ПРОВОД ПВ-1 4</x:v>
      </x:c>
      <x:c r="D37" s="16" t="str">
        <x:v>Кабель общепромышленный и провод</x:v>
      </x:c>
      <x:c r="E37" s="16" t="str">
        <x:v>КМ</x:v>
      </x:c>
      <x:c r="F37" s="29" t="n">
        <x:v>0.45</x:v>
      </x:c>
      <x:c r="G37" s="17" t="n">
        <x:v>30195</x:v>
      </x:c>
      <x:c r="H37" s="17" t="n">
        <x:f>G37*F37</x:f>
        <x:v>13587.75</x:v>
      </x:c>
      <x:c r="I37" s="22" t="str">
        <x:f>HYPERLINK("https://etp-aktiv.ru/catalog/materialy/kabelno-provodnikovaya-produkciya/2000014475-Y113/","Открыть позицию")</x:f>
        <x:v>Открыть позицию</x:v>
      </x:c>
    </x:row>
    <x:row r="38" ht="28" customHeight="1">
      <x:c r="A38" s="16" t="str">
        <x:v>Новосибирская ТЭЦ-4</x:v>
      </x:c>
      <x:c r="B38" s="16" t="str">
        <x:v>2000006428-Y113</x:v>
      </x:c>
      <x:c r="C38" s="16" t="str">
        <x:v>ПРОВОД ПЭТВ-2 1,08</x:v>
      </x:c>
      <x:c r="D38" s="16" t="str">
        <x:v>Кабель общепромышленный и провод</x:v>
      </x:c>
      <x:c r="E38" s="16" t="str">
        <x:v>КГ</x:v>
      </x:c>
      <x:c r="F38" s="30" t="n">
        <x:v>10.45</x:v>
      </x:c>
      <x:c r="G38" s="17" t="n">
        <x:v>1050.176</x:v>
      </x:c>
      <x:c r="H38" s="17" t="n">
        <x:f>G38*F38</x:f>
        <x:v>10974.339199999999</x:v>
      </x:c>
      <x:c r="I38" s="22" t="str">
        <x:f>HYPERLINK("https://etp-aktiv.ru/catalog/materialy/kabelno-provodnikovaya-produkciya/2000006428-Y113/","Открыть позицию")</x:f>
        <x:v>Открыть позицию</x:v>
      </x:c>
    </x:row>
    <x:row r="39" ht="28" customHeight="1">
      <x:c r="A39" s="16" t="str">
        <x:v>Новосибирская ТЭЦ-4</x:v>
      </x:c>
      <x:c r="B39" s="16" t="str">
        <x:v>2000006422-Y113</x:v>
      </x:c>
      <x:c r="C39" s="16" t="str">
        <x:v>ПРОВОД ПЭТВ-2 1,56</x:v>
      </x:c>
      <x:c r="D39" s="16" t="str">
        <x:v>Кабель общепромышленный и провод</x:v>
      </x:c>
      <x:c r="E39" s="16" t="str">
        <x:v>КГ</x:v>
      </x:c>
      <x:c r="F39" s="30" t="n">
        <x:v>10.8</x:v>
      </x:c>
      <x:c r="G39" s="17" t="n">
        <x:v>1359.995</x:v>
      </x:c>
      <x:c r="H39" s="17" t="n">
        <x:f>G39*F39</x:f>
        <x:v>14687.946</x:v>
      </x:c>
      <x:c r="I39" s="22" t="str">
        <x:f>HYPERLINK("https://etp-aktiv.ru/catalog/materialy/kabelno-provodnikovaya-produkciya/2000006422-Y113/","Открыть позицию")</x:f>
        <x:v>Открыть позицию</x:v>
      </x:c>
    </x:row>
    <x:row r="40" ht="28" customHeight="1">
      <x:c r="A40" s="16" t="str">
        <x:v>Новосибирская ТЭЦ-4</x:v>
      </x:c>
      <x:c r="B40" s="16" t="str">
        <x:v>2000533098-Y113</x:v>
      </x:c>
      <x:c r="C40" s="16" t="str">
        <x:v>СКОБА 2-Х ЛАПКОВАЯ СМД 31-32</x:v>
      </x:c>
      <x:c r="D40" s="16" t="str">
        <x:v>Монтажные изделия для кабельной продукции</x:v>
      </x:c>
      <x:c r="E40" s="16" t="str">
        <x:v>ШТ</x:v>
      </x:c>
      <x:c r="F40" s="21" t="n">
        <x:v>72</x:v>
      </x:c>
      <x:c r="G40" s="17" t="n">
        <x:v>0.5733999999999999</x:v>
      </x:c>
      <x:c r="H40" s="17" t="n">
        <x:f>G40*F40</x:f>
        <x:v>41.28479999999999</x:v>
      </x:c>
      <x:c r="I40" s="22" t="str">
        <x:f>HYPERLINK("https://etp-aktiv.ru/catalog/materialy/ehlektrotekhnicheskie-materialy/2000533098-Y113/","Открыть позицию")</x:f>
        <x:v>Открыть позицию</x:v>
      </x:c>
    </x:row>
    <x:row r="41" ht="28" customHeight="1">
      <x:c r="A41" s="16" t="str">
        <x:v>Новосибирская ТЭЦ-5</x:v>
      </x:c>
      <x:c r="B41" s="16" t="str">
        <x:v>2000531038-Y114</x:v>
      </x:c>
      <x:c r="C41" s="16" t="str">
        <x:v>КАБЕЛЬ АВВГ 3*4 1КВ</x:v>
      </x:c>
      <x:c r="D41" s="16" t="str">
        <x:v>Кабель общепромышленный и провод</x:v>
      </x:c>
      <x:c r="E41" s="16" t="str">
        <x:v>КМ</x:v>
      </x:c>
      <x:c r="F41" s="29" t="n">
        <x:v>0.41</x:v>
      </x:c>
      <x:c r="G41" s="17" t="n">
        <x:v>30398.1178</x:v>
      </x:c>
      <x:c r="H41" s="17" t="n">
        <x:f>G41*F41</x:f>
        <x:v>12463.228298</x:v>
      </x:c>
      <x:c r="I41" s="22" t="str">
        <x:f>HYPERLINK("https://etp-aktiv.ru/catalog/materialy/kabelno-provodnikovaya-produkciya/2000531038-Y114/","Открыть позицию")</x:f>
        <x:v>Открыть позицию</x:v>
      </x:c>
    </x:row>
    <x:row r="42" ht="28" customHeight="1">
      <x:c r="A42" s="16" t="str">
        <x:v>Новосибирская ТЭЦ-5</x:v>
      </x:c>
      <x:c r="B42" s="16" t="str">
        <x:v>2000386635-Y114</x:v>
      </x:c>
      <x:c r="C42" s="16" t="str">
        <x:v>КАБЕЛЬ КВК-2П 2*0,5/0,69КВ</x:v>
      </x:c>
      <x:c r="D42" s="16" t="str">
        <x:v>Комплектующие систем наблюдения и контроля</x:v>
      </x:c>
      <x:c r="E42" s="16" t="str">
        <x:v>КМ</x:v>
      </x:c>
      <x:c r="F42" s="29" t="n">
        <x:v>0.2</x:v>
      </x:c>
      <x:c r="G42" s="17" t="n">
        <x:v>31312.0808</x:v>
      </x:c>
      <x:c r="H42" s="17" t="n">
        <x:f>G42*F42</x:f>
        <x:v>6262.416160000001</x:v>
      </x:c>
      <x:c r="I42" s="22" t="str">
        <x:f>HYPERLINK("https://etp-aktiv.ru/catalog/materialy/prochie-materialy/2000386635-Y114/","Открыть позицию")</x:f>
        <x:v>Открыть позицию</x:v>
      </x:c>
    </x:row>
    <x:row r="43" ht="28" customHeight="1">
      <x:c r="A43" s="16" t="str">
        <x:v>Новосибирская ТЭЦ-5</x:v>
      </x:c>
      <x:c r="B43" s="16" t="str">
        <x:v>2000015665-Y114</x:v>
      </x:c>
      <x:c r="C43" s="16" t="str">
        <x:v>КАБЕЛЬ КГ 2*2,5 0,66КВ</x:v>
      </x:c>
      <x:c r="D43" s="16" t="str">
        <x:v>Кабель общепромышленный и провод</x:v>
      </x:c>
      <x:c r="E43" s="16" t="str">
        <x:v>КМ</x:v>
      </x:c>
      <x:c r="F43" s="29" t="n">
        <x:v>0.015</x:v>
      </x:c>
      <x:c r="G43" s="17" t="n">
        <x:v>105347</x:v>
      </x:c>
      <x:c r="H43" s="17" t="n">
        <x:f>G43*F43</x:f>
        <x:v>1580.205</x:v>
      </x:c>
      <x:c r="I43" s="22" t="str">
        <x:f>HYPERLINK("https://etp-aktiv.ru/catalog/materialy/kabelno-provodnikovaya-produkciya/2000015665-Y114/","Открыть позицию")</x:f>
        <x:v>Открыть позицию</x:v>
      </x:c>
    </x:row>
    <x:row r="44" ht="28" customHeight="1">
      <x:c r="A44" s="16" t="str">
        <x:v>Новосибирская ТЭЦ-5</x:v>
      </x:c>
      <x:c r="B44" s="16" t="str">
        <x:v>2000532636-Y114</x:v>
      </x:c>
      <x:c r="C44" s="16" t="str">
        <x:v>КОРОБ КАБЕЛЬНЫЙ ККБ-3ПО-0,2/0,5-2</x:v>
      </x:c>
      <x:c r="D44" s="16" t="str">
        <x:v>Монтажные изделия для кабельной продукции</x:v>
      </x:c>
      <x:c r="E44" s="16" t="str">
        <x:v>ШТ</x:v>
      </x:c>
      <x:c r="F44" s="21" t="n">
        <x:v>60</x:v>
      </x:c>
      <x:c r="G44" s="17" t="n">
        <x:v>915</x:v>
      </x:c>
      <x:c r="H44" s="17" t="n">
        <x:f>G44*F44</x:f>
        <x:v>54900</x:v>
      </x:c>
      <x:c r="I44" s="22" t="str">
        <x:f>HYPERLINK("https://etp-aktiv.ru/catalog/materialy/ehlektrotekhnicheskie-materialy/2000532636-Y114/","Открыть позицию")</x:f>
        <x:v>Открыть позицию</x:v>
      </x:c>
    </x:row>
    <x:row r="45" ht="28" customHeight="1">
      <x:c r="A45" s="16" t="str">
        <x:v>Новосибирская ТЭЦ-5</x:v>
      </x:c>
      <x:c r="B45" s="16" t="str">
        <x:v>2000532658-Y114</x:v>
      </x:c>
      <x:c r="C45" s="16" t="str">
        <x:v>КОРОБ ПРЯМОЙ КП-0,1/0,4-2 У1</x:v>
      </x:c>
      <x:c r="D45" s="16" t="str">
        <x:v>Монтажные изделия для кабельной продукции</x:v>
      </x:c>
      <x:c r="E45" s="16" t="str">
        <x:v>ШТ</x:v>
      </x:c>
      <x:c r="F45" s="21" t="n">
        <x:v>3</x:v>
      </x:c>
      <x:c r="G45" s="17" t="n">
        <x:v>91.5</x:v>
      </x:c>
      <x:c r="H45" s="17" t="n">
        <x:f>G45*F45</x:f>
        <x:v>274.5</x:v>
      </x:c>
      <x:c r="I45" s="22" t="str">
        <x:f>HYPERLINK("https://etp-aktiv.ru/catalog/materialy/ehlektrotekhnicheskie-materialy/2000532658-Y114/","Открыть позицию")</x:f>
        <x:v>Открыть позицию</x:v>
      </x:c>
    </x:row>
    <x:row r="46" ht="28" customHeight="1">
      <x:c r="A46" s="16" t="str">
        <x:v>Новосибирская ТЭЦ-5</x:v>
      </x:c>
      <x:c r="B46" s="16" t="str">
        <x:v>2000532750-Y114</x:v>
      </x:c>
      <x:c r="C46" s="16" t="str">
        <x:v>МЕТАЛЛОРУКАВ В ПВХ-ОБОЛОЧКЕ МРПИ НГ 50ММ</x:v>
      </x:c>
      <x:c r="D46" s="16" t="str">
        <x:v>Монтажные изделия для кабельной продукции</x:v>
      </x:c>
      <x:c r="E46" s="16" t="str">
        <x:v>ШТ</x:v>
      </x:c>
      <x:c r="F46" s="21" t="n">
        <x:v>1</x:v>
      </x:c>
      <x:c r="G46" s="17" t="n">
        <x:v>363.4624</x:v>
      </x:c>
      <x:c r="H46" s="17" t="n">
        <x:f>G46*F46</x:f>
        <x:v>363.4624</x:v>
      </x:c>
      <x:c r="I46" s="22" t="str">
        <x:f>HYPERLINK("https://etp-aktiv.ru/catalog/materialy/ehlektrotekhnicheskie-materialy/2000532750-Y114/","Открыть позицию")</x:f>
        <x:v>Открыть позицию</x:v>
      </x:c>
    </x:row>
    <x:row r="47" ht="28" customHeight="1">
      <x:c r="A47" s="16" t="str">
        <x:v>Новосибирская ТЭЦ-5</x:v>
      </x:c>
      <x:c r="B47" s="16" t="str">
        <x:v>2000226086-Y114</x:v>
      </x:c>
      <x:c r="C47" s="16" t="str">
        <x:v>ПОЛОСА ЛОСКУТОВА 15ММ 45М/КГ</x:v>
      </x:c>
      <x:c r="D47" s="16" t="str">
        <x:v>Монтажные изделия для кабельной продукции</x:v>
      </x:c>
      <x:c r="E47" s="16" t="str">
        <x:v>КГ</x:v>
      </x:c>
      <x:c r="F47" s="30" t="n">
        <x:v>5.2</x:v>
      </x:c>
      <x:c r="G47" s="17" t="n">
        <x:v>10.1748</x:v>
      </x:c>
      <x:c r="H47" s="17" t="n">
        <x:f>G47*F47</x:f>
        <x:v>52.90896</x:v>
      </x:c>
      <x:c r="I47" s="22" t="str">
        <x:f>HYPERLINK("https://etp-aktiv.ru/catalog/materialy/ehlektrotekhnicheskie-materialy/2000226086-Y114/","Открыть позицию")</x:f>
        <x:v>Открыть позицию</x:v>
      </x:c>
    </x:row>
    <x:row r="48" ht="28" customHeight="1">
      <x:c r="A48" s="16" t="str">
        <x:v>Новосибирская ТЭЦ-5</x:v>
      </x:c>
      <x:c r="B48" s="16" t="str">
        <x:v>2000014586-Y114</x:v>
      </x:c>
      <x:c r="C48" s="16" t="str">
        <x:v>ПРОВОД БПВЛ 2,5</x:v>
      </x:c>
      <x:c r="D48" s="16" t="str">
        <x:v>Кабель общепромышленный и провод</x:v>
      </x:c>
      <x:c r="E48" s="16" t="str">
        <x:v>КМ</x:v>
      </x:c>
      <x:c r="F48" s="29" t="n">
        <x:v>0.019</x:v>
      </x:c>
      <x:c r="G48" s="17" t="n">
        <x:v>23485</x:v>
      </x:c>
      <x:c r="H48" s="17" t="n">
        <x:f>G48*F48</x:f>
        <x:v>446.215</x:v>
      </x:c>
      <x:c r="I48" s="22" t="str">
        <x:f>HYPERLINK("https://etp-aktiv.ru/catalog/materialy/kabelno-provodnikovaya-produkciya/2000014586-Y114/","Открыть позицию")</x:f>
        <x:v>Открыть позицию</x:v>
      </x:c>
    </x:row>
    <x:row r="49" ht="28" customHeight="1">
      <x:c r="A49" s="16" t="str">
        <x:v>Новосибирская ТЭЦ-5</x:v>
      </x:c>
      <x:c r="B49" s="16" t="str">
        <x:v>2000017637-Y114</x:v>
      </x:c>
      <x:c r="C49" s="16" t="str">
        <x:v>ПРОВОД БПВЛ 35</x:v>
      </x:c>
      <x:c r="D49" s="16" t="str">
        <x:v>Кабель общепромышленный и провод</x:v>
      </x:c>
      <x:c r="E49" s="16" t="str">
        <x:v>КМ</x:v>
      </x:c>
      <x:c r="F49" s="29" t="n">
        <x:v>0.036</x:v>
      </x:c>
      <x:c r="G49" s="17" t="n">
        <x:v>261166.5834</x:v>
      </x:c>
      <x:c r="H49" s="17" t="n">
        <x:f>G49*F49</x:f>
        <x:v>9401.9970024</x:v>
      </x:c>
      <x:c r="I49" s="22" t="str">
        <x:f>HYPERLINK("https://etp-aktiv.ru/catalog/materialy/kabelno-provodnikovaya-produkciya/2000017637-Y114/","Открыть позицию")</x:f>
        <x:v>Открыть позицию</x:v>
      </x:c>
    </x:row>
    <x:row r="50" ht="28" customHeight="1">
      <x:c r="A50" s="16" t="str">
        <x:v>Новосибирская ТЭЦ-5</x:v>
      </x:c>
      <x:c r="B50" s="16" t="str">
        <x:v>2000007284-Y114</x:v>
      </x:c>
      <x:c r="C50" s="16" t="str">
        <x:v>ПРОВОД ПЭТВ-2 0,28</x:v>
      </x:c>
      <x:c r="D50" s="16" t="str">
        <x:v>Кабель общепромышленный и провод</x:v>
      </x:c>
      <x:c r="E50" s="16" t="str">
        <x:v>КГ</x:v>
      </x:c>
      <x:c r="F50" s="21" t="n">
        <x:v>54</x:v>
      </x:c>
      <x:c r="G50" s="17" t="n">
        <x:v>1389.9704</x:v>
      </x:c>
      <x:c r="H50" s="17" t="n">
        <x:f>G50*F50</x:f>
        <x:v>75058.4016</x:v>
      </x:c>
      <x:c r="I50" s="22" t="str">
        <x:f>HYPERLINK("https://etp-aktiv.ru/catalog/materialy/kabelno-provodnikovaya-produkciya/2000007284-Y114/","Открыть позицию")</x:f>
        <x:v>Открыть позицию</x:v>
      </x:c>
    </x:row>
    <x:row r="51" ht="28" customHeight="1">
      <x:c r="A51" s="16" t="str">
        <x:v>Новосибирская ТЭЦ-5</x:v>
      </x:c>
      <x:c r="B51" s="16" t="str">
        <x:v>2000006757-Y114</x:v>
      </x:c>
      <x:c r="C51" s="16" t="str">
        <x:v>ПРОВОД ПЭТВ-2 0,9</x:v>
      </x:c>
      <x:c r="D51" s="16" t="str">
        <x:v>Кабель общепромышленный и провод</x:v>
      </x:c>
      <x:c r="E51" s="16" t="str">
        <x:v>КГ</x:v>
      </x:c>
      <x:c r="F51" s="30" t="n">
        <x:v>15.45</x:v>
      </x:c>
      <x:c r="G51" s="17" t="n">
        <x:v>1050.176</x:v>
      </x:c>
      <x:c r="H51" s="17" t="n">
        <x:f>G51*F51</x:f>
        <x:v>16225.219199999998</x:v>
      </x:c>
      <x:c r="I51" s="22" t="str">
        <x:f>HYPERLINK("https://etp-aktiv.ru/catalog/materialy/kabelno-provodnikovaya-produkciya/2000006757-Y114/","Открыть позицию")</x:f>
        <x:v>Открыть позицию</x:v>
      </x:c>
    </x:row>
    <x:row r="52" ht="28" customHeight="1">
      <x:c r="A52" s="16" t="str">
        <x:v>Новосибирская ТЭЦ-5</x:v>
      </x:c>
      <x:c r="B52" s="16" t="str">
        <x:v>2000006758-Y114</x:v>
      </x:c>
      <x:c r="C52" s="16" t="str">
        <x:v>ПРОВОД ПЭТВ-2 0,95</x:v>
      </x:c>
      <x:c r="D52" s="16" t="str">
        <x:v>Кабель общепромышленный и провод</x:v>
      </x:c>
      <x:c r="E52" s="16" t="str">
        <x:v>КГ</x:v>
      </x:c>
      <x:c r="F52" s="30" t="n">
        <x:v>14.05</x:v>
      </x:c>
      <x:c r="G52" s="17" t="n">
        <x:v>1359.995</x:v>
      </x:c>
      <x:c r="H52" s="17" t="n">
        <x:f>G52*F52</x:f>
        <x:v>19107.92975</x:v>
      </x:c>
      <x:c r="I52" s="22" t="str">
        <x:f>HYPERLINK("https://etp-aktiv.ru/catalog/materialy/kabelno-provodnikovaya-produkciya/2000006758-Y114/","Открыть позицию")</x:f>
        <x:v>Открыть позицию</x:v>
      </x:c>
    </x:row>
    <x:row r="53" ht="28" customHeight="1">
      <x:c r="A53" s="16" t="str">
        <x:v>Новосибирская ТЭЦ-5</x:v>
      </x:c>
      <x:c r="B53" s="16" t="str">
        <x:v>2000006773-Y114</x:v>
      </x:c>
      <x:c r="C53" s="16" t="str">
        <x:v>ПРОВОД ПЭТВ-2 1,06</x:v>
      </x:c>
      <x:c r="D53" s="16" t="str">
        <x:v>Кабель общепромышленный и провод</x:v>
      </x:c>
      <x:c r="E53" s="16" t="str">
        <x:v>КГ</x:v>
      </x:c>
      <x:c r="F53" s="30" t="n">
        <x:v>12.45</x:v>
      </x:c>
      <x:c r="G53" s="17" t="n">
        <x:v>1359.995</x:v>
      </x:c>
      <x:c r="H53" s="17" t="n">
        <x:f>G53*F53</x:f>
        <x:v>16931.937749999997</x:v>
      </x:c>
      <x:c r="I53" s="22" t="str">
        <x:f>HYPERLINK("https://etp-aktiv.ru/catalog/materialy/kabelno-provodnikovaya-produkciya/2000006773-Y114/","Открыть позицию")</x:f>
        <x:v>Открыть позицию</x:v>
      </x:c>
    </x:row>
    <x:row r="54" ht="28" customHeight="1">
      <x:c r="A54" s="16" t="str">
        <x:v>Новосибирская ТЭЦ-5</x:v>
      </x:c>
      <x:c r="B54" s="16" t="str">
        <x:v>2000006767-Y114</x:v>
      </x:c>
      <x:c r="C54" s="16" t="str">
        <x:v>ПРОВОД ПЭТВ-2 1,18</x:v>
      </x:c>
      <x:c r="D54" s="16" t="str">
        <x:v>Кабель общепромышленный и провод</x:v>
      </x:c>
      <x:c r="E54" s="16" t="str">
        <x:v>КГ</x:v>
      </x:c>
      <x:c r="F54" s="30" t="n">
        <x:v>13.3</x:v>
      </x:c>
      <x:c r="G54" s="17" t="n">
        <x:v>1359.995</x:v>
      </x:c>
      <x:c r="H54" s="17" t="n">
        <x:f>G54*F54</x:f>
        <x:v>18087.9335</x:v>
      </x:c>
      <x:c r="I54" s="22" t="str">
        <x:f>HYPERLINK("https://etp-aktiv.ru/catalog/materialy/kabelno-provodnikovaya-produkciya/2000006767-Y114/","Открыть позицию")</x:f>
        <x:v>Открыть позицию</x:v>
      </x:c>
    </x:row>
    <x:row r="55" ht="28" customHeight="1">
      <x:c r="A55" s="16" t="str">
        <x:v>Новосибирская ТЭЦ-5</x:v>
      </x:c>
      <x:c r="B55" s="16" t="str">
        <x:v>2000138884-Y114</x:v>
      </x:c>
      <x:c r="C55" s="16" t="str">
        <x:v>ПРОВОД ПЭТВ-2 1,2</x:v>
      </x:c>
      <x:c r="D55" s="16" t="str">
        <x:v>Кабель общепромышленный и провод</x:v>
      </x:c>
      <x:c r="E55" s="16" t="str">
        <x:v>КГ</x:v>
      </x:c>
      <x:c r="F55" s="30" t="n">
        <x:v>18.9</x:v>
      </x:c>
      <x:c r="G55" s="17" t="n">
        <x:v>1158.6706</x:v>
      </x:c>
      <x:c r="H55" s="17" t="n">
        <x:f>G55*F55</x:f>
        <x:v>21898.87434</x:v>
      </x:c>
      <x:c r="I55" s="22" t="str">
        <x:f>HYPERLINK("https://etp-aktiv.ru/catalog/materialy/kabelno-provodnikovaya-produkciya/2000138884-Y114/","Открыть позицию")</x:f>
        <x:v>Открыть позицию</x:v>
      </x:c>
    </x:row>
    <x:row r="56" ht="28" customHeight="1">
      <x:c r="A56" s="16" t="str">
        <x:v>Новосибирская ТЭЦ-5</x:v>
      </x:c>
      <x:c r="B56" s="16" t="str">
        <x:v>2000533118-Y114</x:v>
      </x:c>
      <x:c r="C56" s="16" t="str">
        <x:v>СОЕДИНИТЕЛЬ БОЛТОВОЙ ГД 240</x:v>
      </x:c>
      <x:c r="D56" s="16" t="str">
        <x:v>Монтажные изделия для кабельной продукции</x:v>
      </x:c>
      <x:c r="E56" s="16" t="str">
        <x:v>ШТ</x:v>
      </x:c>
      <x:c r="F56" s="21" t="n">
        <x:v>10</x:v>
      </x:c>
      <x:c r="G56" s="17" t="n">
        <x:v>14.64</x:v>
      </x:c>
      <x:c r="H56" s="17" t="n">
        <x:f>G56*F56</x:f>
        <x:v>146.4</x:v>
      </x:c>
      <x:c r="I56" s="22" t="str">
        <x:f>HYPERLINK("https://etp-aktiv.ru/catalog/materialy/ehlektrotekhnicheskie-materialy/2000533118-Y114/","Открыть позицию")</x:f>
        <x:v>Открыть позицию</x:v>
      </x:c>
    </x:row>
    <x:row r="57" ht="28" customHeight="1">
      <x:c r="A57" s="16" t="str">
        <x:v>Новосибирская ТЭЦ-5</x:v>
      </x:c>
      <x:c r="B57" s="16" t="str">
        <x:v>2000533119-Y114</x:v>
      </x:c>
      <x:c r="C57" s="16" t="str">
        <x:v>СОЕДИНИТЕЛЬ БОЛТОВОЙ ГД 70-120</x:v>
      </x:c>
      <x:c r="D57" s="16" t="str">
        <x:v>Монтажные изделия для кабельной продукции</x:v>
      </x:c>
      <x:c r="E57" s="16" t="str">
        <x:v>ШТ</x:v>
      </x:c>
      <x:c r="F57" s="21" t="n">
        <x:v>2</x:v>
      </x:c>
      <x:c r="G57" s="17" t="n">
        <x:v>14.64</x:v>
      </x:c>
      <x:c r="H57" s="17" t="n">
        <x:f>G57*F57</x:f>
        <x:v>29.28</x:v>
      </x:c>
      <x:c r="I57" s="22" t="str">
        <x:f>HYPERLINK("https://etp-aktiv.ru/catalog/materialy/ehlektrotekhnicheskie-materialy/2000533119-Y114/","Открыть позицию")</x:f>
        <x:v>Открыть позицию</x:v>
      </x:c>
    </x:row>
    <x:row r="58" ht="28" customHeight="1">
      <x:c r="A58" s="16" t="str">
        <x:v>Новосибирская ТЭЦ-5</x:v>
      </x:c>
      <x:c r="B58" s="16" t="str">
        <x:v>2000533121-Y114</x:v>
      </x:c>
      <x:c r="C58" s="16" t="str">
        <x:v>СОЕДИНИТЕЛЬ БОЛТОВОЙ ГПК-50/120</x:v>
      </x:c>
      <x:c r="D58" s="16" t="str">
        <x:v>Монтажные изделия для кабельной продукции</x:v>
      </x:c>
      <x:c r="E58" s="16" t="str">
        <x:v>ШТ</x:v>
      </x:c>
      <x:c r="F58" s="21" t="n">
        <x:v>30</x:v>
      </x:c>
      <x:c r="G58" s="17" t="n">
        <x:v>14.64</x:v>
      </x:c>
      <x:c r="H58" s="17" t="n">
        <x:f>G58*F58</x:f>
        <x:v>439.20000000000005</x:v>
      </x:c>
      <x:c r="I58" s="22" t="str">
        <x:f>HYPERLINK("https://etp-aktiv.ru/catalog/materialy/ehlektrotekhnicheskie-materialy/2000533121-Y114/","Открыть позицию")</x:f>
        <x:v>Открыть позицию</x:v>
      </x:c>
    </x:row>
    <x:row r="59" ht="28" customHeight="1">
      <x:c r="A59" s="16" t="str">
        <x:v>Новосибирская теплосетевая компания</x:v>
      </x:c>
      <x:c r="B59" s="16" t="str">
        <x:v>2000382668-Y321</x:v>
      </x:c>
      <x:c r="C59" s="16" t="str">
        <x:v>САЛЬНИК 25ММ YSA40-25-32-68-K41</x:v>
      </x:c>
      <x:c r="D59" s="16" t="str">
        <x:v>Монтажные изделия для кабельной продукции</x:v>
      </x:c>
      <x:c r="E59" s="16" t="str">
        <x:v>ШТ</x:v>
      </x:c>
      <x:c r="F59" s="21" t="n">
        <x:v>28</x:v>
      </x:c>
      <x:c r="G59" s="17" t="n">
        <x:v>2.6717999999999997</x:v>
      </x:c>
      <x:c r="H59" s="17" t="n">
        <x:f>G59*F59</x:f>
        <x:v>74.81039999999999</x:v>
      </x:c>
      <x:c r="I59" s="22" t="str">
        <x:f>HYPERLINK("https://etp-aktiv.ru/catalog/materialy/ehlektrotekhnicheskie-materialy/2000382668-Y321/","Открыть позицию")</x:f>
        <x:v>Открыть позицию</x:v>
      </x:c>
    </x:row>
    <x:row r="60" ht="28" customHeight="1">
      <x:c r="A60" s="16" t="str">
        <x:v>Филиал «Тепловые сети»</x:v>
      </x:c>
      <x:c r="B60" s="16" t="str">
        <x:v>2000606088-Y121</x:v>
      </x:c>
      <x:c r="C60" s="16" t="str">
        <x:v>КАБЕЛЬ ВВГНГ-LS 3*4 0,66КВ</x:v>
      </x:c>
      <x:c r="D60" s="16" t="str">
        <x:v>Кабель общепромышленный и провод</x:v>
      </x:c>
      <x:c r="E60" s="16" t="str">
        <x:v>КМ</x:v>
      </x:c>
      <x:c r="F60" s="29" t="n">
        <x:v>0.044</x:v>
      </x:c>
      <x:c r="G60" s="17" t="n">
        <x:v>183183</x:v>
      </x:c>
      <x:c r="H60" s="17" t="n">
        <x:f>G60*F60</x:f>
        <x:v>8060.052</x:v>
      </x:c>
      <x:c r="I60" s="22" t="str">
        <x:f>HYPERLINK("https://etp-aktiv.ru/catalog/materialy/kabelno-provodnikovaya-produkciya/2000606088-Y121/","Открыть позицию")</x:f>
        <x:v>Открыть позицию</x:v>
      </x:c>
    </x:row>
    <x:row r="61" ht="28" customHeight="1">
      <x:c r="A61" s="16" t="str">
        <x:v>Филиал «Тепловые сети»</x:v>
      </x:c>
      <x:c r="B61" s="16" t="str">
        <x:v>2001101260-Y121</x:v>
      </x:c>
      <x:c r="C61" s="16" t="str">
        <x:v>КАБЕЛЬ ВВГНГ-LS 5*10 0,66КВ</x:v>
      </x:c>
      <x:c r="D61" s="16" t="str">
        <x:v>Кабель общепромышленный и провод</x:v>
      </x:c>
      <x:c r="E61" s="16" t="str">
        <x:v>КМ</x:v>
      </x:c>
      <x:c r="F61" s="29" t="n">
        <x:v>0.146</x:v>
      </x:c>
      <x:c r="G61" s="17" t="n">
        <x:v>646844</x:v>
      </x:c>
      <x:c r="H61" s="17" t="n">
        <x:f>G61*F61</x:f>
        <x:v>94439.22399999999</x:v>
      </x:c>
      <x:c r="I61" s="22" t="str">
        <x:f>HYPERLINK("https://etp-aktiv.ru/catalog/materialy/kabelno-provodnikovaya-produkciya/2001101260-Y121/","Открыть позицию")</x:f>
        <x:v>Открыть позицию</x:v>
      </x:c>
    </x:row>
    <x:row r="62" ht="28" customHeight="1">
      <x:c r="A62" s="16" t="str">
        <x:v>Филиал «Тепловые сети»</x:v>
      </x:c>
      <x:c r="B62" s="16" t="str">
        <x:v>2000692621-Y121</x:v>
      </x:c>
      <x:c r="C62" s="16" t="str">
        <x:v>КАБЕЛЬ КВВГНГ(А)-LS 5*1 0,66КВ</x:v>
      </x:c>
      <x:c r="D62" s="16" t="str">
        <x:v>Кабель общепромышленный и провод</x:v>
      </x:c>
      <x:c r="E62" s="16" t="str">
        <x:v>КМ</x:v>
      </x:c>
      <x:c r="F62" s="29" t="n">
        <x:v>0.2</x:v>
      </x:c>
      <x:c r="G62" s="17" t="n">
        <x:v>86559</x:v>
      </x:c>
      <x:c r="H62" s="17" t="n">
        <x:f>G62*F62</x:f>
        <x:v>17311.8</x:v>
      </x:c>
      <x:c r="I62" s="22" t="str">
        <x:f>HYPERLINK("https://etp-aktiv.ru/catalog/materialy/kabelno-provodnikovaya-produkciya/2000692621-Y121/","Открыть позицию")</x:f>
        <x:v>Открыть позицию</x:v>
      </x:c>
    </x:row>
    <x:row r="63" ht="28" customHeight="1">
      <x:c r="A63" s="16" t="str">
        <x:v>Филиал «Тепловые сети»</x:v>
      </x:c>
      <x:c r="B63" s="16" t="str">
        <x:v>2000533095-Y121</x:v>
      </x:c>
      <x:c r="C63" s="16" t="str">
        <x:v>СКОБА 1-ЛАПКОВАЯ СО 22</x:v>
      </x:c>
      <x:c r="D63" s="16" t="str">
        <x:v>Монтажные изделия для кабельной продукции</x:v>
      </x:c>
      <x:c r="E63" s="16" t="str">
        <x:v>ШТ</x:v>
      </x:c>
      <x:c r="F63" s="21" t="n">
        <x:v>400</x:v>
      </x:c>
      <x:c r="G63" s="17" t="n">
        <x:v>0.7198</x:v>
      </x:c>
      <x:c r="H63" s="17" t="n">
        <x:f>G63*F63</x:f>
        <x:v>287.92</x:v>
      </x:c>
      <x:c r="I63" s="22" t="str">
        <x:f>HYPERLINK("https://etp-aktiv.ru/catalog/materialy/ehlektrotekhnicheskie-materialy/2000533095-Y121/","Открыть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6441b087a1c4839"/>
  </x:tableParts>
</x:worksheet>
</file>

<file path=xl/worksheets/sheet1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Электрооборудование, КИПиА и связь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2000721516-Y115</x:v>
      </x:c>
      <x:c r="C5" s="16" t="str">
        <x:v>КОННЕКТОР NETLAN RJ45/8P8C CAT 5E</x:v>
      </x:c>
      <x:c r="D5" s="16" t="str">
        <x:v>Комплектующие и запасные части к компьютерному и офисному об</x:v>
      </x:c>
      <x:c r="E5" s="16" t="str">
        <x:v>ШТ</x:v>
      </x:c>
      <x:c r="F5" s="21" t="n">
        <x:v>5</x:v>
      </x:c>
      <x:c r="G5" s="17" t="n">
        <x:v>1.586</x:v>
      </x:c>
      <x:c r="H5" s="17" t="n">
        <x:f>G5*F5</x:f>
        <x:v>7.930000000000001</x:v>
      </x:c>
      <x:c r="I5" s="22" t="str">
        <x:f>HYPERLINK("https://etp-aktiv.ru/catalog/materialy/komplektuyushchie-i-zapasnye-chasti-k-kompyuternomu-i-ofisnomu-oborudovaniyu/2000721516-Y115/","Открыть позицию")</x:f>
        <x:v>Открыть позицию</x:v>
      </x:c>
    </x:row>
    <x:row r="6" ht="28" customHeight="1">
      <x:c r="A6" s="16" t="str">
        <x:v>ИА СГК-Новосибирск</x:v>
      </x:c>
      <x:c r="B6" s="16" t="str">
        <x:v>5000058624-Y101</x:v>
      </x:c>
      <x:c r="C6" s="16" t="str">
        <x:v>КМП ПЕРЕД+ПРИЕМ NVF-12-20T/R ПЕР В/СИГН</x:v>
      </x:c>
      <x:c r="D6" s="16" t="str">
        <x:v>Аппаратура наблюдения и контроля специализирован и под заказ</x:v>
      </x:c>
      <x:c r="E6" s="16" t="str">
        <x:v>КМП</x:v>
      </x:c>
      <x:c r="F6" s="21" t="n">
        <x:v>2</x:v>
      </x:c>
      <x:c r="G6" s="17" t="n">
        <x:v>2573.9804</x:v>
      </x:c>
      <x:c r="H6" s="17" t="n">
        <x:f>G6*F6</x:f>
        <x:v>5147.9608</x:v>
      </x:c>
      <x:c r="I6" s="22" t="str">
        <x:f>HYPERLINK("https://etp-aktiv.ru/catalog/oborudovanie/radioehlektronnaya-apparatura-i-izdeliya/5000058624-Y101/","Открыть позицию")</x:f>
        <x:v>Открыть позицию</x:v>
      </x:c>
    </x:row>
    <x:row r="7" ht="28" customHeight="1">
      <x:c r="A7" s="16" t="str">
        <x:v>ИА СГК-Новосибирск</x:v>
      </x:c>
      <x:c r="B7" s="16" t="str">
        <x:v>5000058625-Y101</x:v>
      </x:c>
      <x:c r="C7" s="16" t="str">
        <x:v>КМП ПЕРЕД+ПРИЕМ TA-VKM/3+RA-VKM/3(VER.2)</x:v>
      </x:c>
      <x:c r="D7" s="16" t="str">
        <x:v>Аппаратура наблюдения и контроля специализирован и под заказ</x:v>
      </x:c>
      <x:c r="E7" s="16" t="str">
        <x:v>КМП</x:v>
      </x:c>
      <x:c r="F7" s="21" t="n">
        <x:v>1</x:v>
      </x:c>
      <x:c r="G7" s="17" t="n">
        <x:v>814.1914</x:v>
      </x:c>
      <x:c r="H7" s="17" t="n">
        <x:f>G7*F7</x:f>
        <x:v>814.1914</x:v>
      </x:c>
      <x:c r="I7" s="22" t="str">
        <x:f>HYPERLINK("https://etp-aktiv.ru/catalog/oborudovanie/radioehlektronnaya-apparatura-i-izdeliya/5000058625-Y101/","Открыть позицию")</x:f>
        <x:v>Открыть позицию</x:v>
      </x:c>
    </x:row>
    <x:row r="8" ht="28" customHeight="1">
      <x:c r="A8" s="16" t="str">
        <x:v>ИА СГК-Новосибирск</x:v>
      </x:c>
      <x:c r="B8" s="16" t="str">
        <x:v>2000551762-Y101</x:v>
      </x:c>
      <x:c r="C8" s="16" t="str">
        <x:v>ТРАНСФОРМАТОР ТВИ-110 750/5 50ВА 0,5S</x:v>
      </x:c>
      <x:c r="D8" s="16" t="str">
        <x:v>Трансформаторы измерительные</x:v>
      </x:c>
      <x:c r="E8" s="16" t="str">
        <x:v>ШТ</x:v>
      </x:c>
      <x:c r="F8" s="21" t="n">
        <x:v>21</x:v>
      </x:c>
      <x:c r="G8" s="17" t="n">
        <x:v>24402.2692</x:v>
      </x:c>
      <x:c r="H8" s="17" t="n">
        <x:f>G8*F8</x:f>
        <x:v>512447.6532</x:v>
      </x:c>
      <x:c r="I8" s="22" t="str">
        <x:f>HYPERLINK("https://etp-aktiv.ru/catalog/materialy/ehlektrotekhnicheskie-materialy/2000551762-Y101/","Открыть позицию")</x:f>
        <x:v>Открыть позицию</x:v>
      </x:c>
    </x:row>
    <x:row r="9" ht="28" customHeight="1">
      <x:c r="A9" s="16" t="str">
        <x:v>ИА СГК-Новосибирск</x:v>
      </x:c>
      <x:c r="B9" s="16" t="str">
        <x:v>2000551763-Y101</x:v>
      </x:c>
      <x:c r="C9" s="16" t="str">
        <x:v>ТРАНСФОРМАТОР ТВИ-110 750/5 50ВА 10Р</x:v>
      </x:c>
      <x:c r="D9" s="16" t="str">
        <x:v>Трансформаторы измерительные</x:v>
      </x:c>
      <x:c r="E9" s="16" t="str">
        <x:v>ШТ</x:v>
      </x:c>
      <x:c r="F9" s="21" t="n">
        <x:v>21</x:v>
      </x:c>
      <x:c r="G9" s="17" t="n">
        <x:v>24402.2692</x:v>
      </x:c>
      <x:c r="H9" s="17" t="n">
        <x:f>G9*F9</x:f>
        <x:v>512447.6532</x:v>
      </x:c>
      <x:c r="I9" s="22" t="str">
        <x:f>HYPERLINK("https://etp-aktiv.ru/catalog/materialy/ehlektrotekhnicheskie-materialy/2000551763-Y101/","Открыть позицию")</x:f>
        <x:v>Открыть позицию</x:v>
      </x:c>
    </x:row>
    <x:row r="10" ht="28" customHeight="1">
      <x:c r="A10" s="16" t="str">
        <x:v>ИА СГК-Новосибирск</x:v>
      </x:c>
      <x:c r="B10" s="16" t="str">
        <x:v>2000456390-Y101</x:v>
      </x:c>
      <x:c r="C10" s="16" t="str">
        <x:v>ШКАФ ЦМО ШРН 9.650 IP54 600*650</x:v>
      </x:c>
      <x:c r="D10" s="16" t="str">
        <x:v>Низковольтная аппаратура и запасные части</x:v>
      </x:c>
      <x:c r="E10" s="16" t="str">
        <x:v>ШТ</x:v>
      </x:c>
      <x:c r="F10" s="21" t="n">
        <x:v>1</x:v>
      </x:c>
      <x:c r="G10" s="17" t="n">
        <x:v>1660.2736</x:v>
      </x:c>
      <x:c r="H10" s="17" t="n">
        <x:f>G10*F10</x:f>
        <x:v>1660.2736</x:v>
      </x:c>
      <x:c r="I10" s="22" t="str">
        <x:f>HYPERLINK("https://etp-aktiv.ru/catalog/materialy/nizkovoltnaya-apparatura-i-zapasnye-chasti/2000456390-Y101/","Открыть позицию")</x:f>
        <x:v>Открыть позицию</x:v>
      </x:c>
    </x:row>
    <x:row r="11" ht="28" customHeight="1">
      <x:c r="A11" s="16" t="str">
        <x:v>Новосибирская ТЭЦ-2</x:v>
      </x:c>
      <x:c r="B11" s="16" t="str">
        <x:v>2000631611-Y111</x:v>
      </x:c>
      <x:c r="C11" s="16" t="str">
        <x:v>АНТЕННА ГЛОНАСС/GPS GPS-B3.50SP</x:v>
      </x:c>
      <x:c r="D11" s="16" t="str">
        <x:v>Низковольтная аппаратура и запасные части спец-е и под заказ</x:v>
      </x:c>
      <x:c r="E11" s="16" t="str">
        <x:v>ШТ</x:v>
      </x:c>
      <x:c r="F11" s="21" t="n">
        <x:v>1</x:v>
      </x:c>
      <x:c r="G11" s="17" t="n">
        <x:v>7910.175</x:v>
      </x:c>
      <x:c r="H11" s="17" t="n">
        <x:f>G11*F11</x:f>
        <x:v>7910.175</x:v>
      </x:c>
      <x:c r="I11" s="22" t="str">
        <x:f>HYPERLINK("https://etp-aktiv.ru/catalog/materialy/nizkovoltnaya-apparatura-i-zapasnye-chasti/2000631611-Y111/","Открыть позицию")</x:f>
        <x:v>Открыть позицию</x:v>
      </x:c>
    </x:row>
    <x:row r="12" ht="28" customHeight="1">
      <x:c r="A12" s="16" t="str">
        <x:v>Новосибирская ТЭЦ-2</x:v>
      </x:c>
      <x:c r="B12" s="16" t="str">
        <x:v>2000165421-Y111</x:v>
      </x:c>
      <x:c r="C12" s="16" t="str">
        <x:v>ИЗОФЛЕКС 191 0,13ММ</x:v>
      </x:c>
      <x:c r="D12" s="16" t="str">
        <x:v>Электроизоляционные материалы</x:v>
      </x:c>
      <x:c r="E12" s="16" t="str">
        <x:v>КГ</x:v>
      </x:c>
      <x:c r="F12" s="29" t="n">
        <x:v>0.29</x:v>
      </x:c>
      <x:c r="G12" s="17" t="n">
        <x:v>300.0712</x:v>
      </x:c>
      <x:c r="H12" s="17" t="n">
        <x:f>G12*F12</x:f>
        <x:v>87.02064799999998</x:v>
      </x:c>
      <x:c r="I12" s="22" t="str">
        <x:f>HYPERLINK("https://etp-aktiv.ru/catalog/materialy/ehlektroizolyacionnye-materialy/2000165421-Y111/","Открыть позицию")</x:f>
        <x:v>Открыть позицию</x:v>
      </x:c>
    </x:row>
    <x:row r="13" ht="28" customHeight="1">
      <x:c r="A13" s="16" t="str">
        <x:v>Новосибирская ТЭЦ-2</x:v>
      </x:c>
      <x:c r="B13" s="16" t="str">
        <x:v>2000447352-Y111</x:v>
      </x:c>
      <x:c r="C13" s="16" t="str">
        <x:v>ЛЕНТА ЛЭСБ 0,2*50 ГОСТ5937-81</x:v>
      </x:c>
      <x:c r="D13" s="16" t="str">
        <x:v>Электроизоляционные материалы</x:v>
      </x:c>
      <x:c r="E13" s="16" t="str">
        <x:v>М</x:v>
      </x:c>
      <x:c r="F13" s="21" t="n">
        <x:v>40</x:v>
      </x:c>
      <x:c r="G13" s="17" t="n">
        <x:v>7.0882</x:v>
      </x:c>
      <x:c r="H13" s="17" t="n">
        <x:f>G13*F13</x:f>
        <x:v>283.52799999999996</x:v>
      </x:c>
      <x:c r="I13" s="22" t="str">
        <x:f>HYPERLINK("https://etp-aktiv.ru/catalog/materialy/ehlektroizolyacionnye-materialy/2000447352-Y111/","Открыть позицию")</x:f>
        <x:v>Открыть позицию</x:v>
      </x:c>
    </x:row>
    <x:row r="14" ht="28" customHeight="1">
      <x:c r="A14" s="16" t="str">
        <x:v>Новосибирская ТЭЦ-2</x:v>
      </x:c>
      <x:c r="B14" s="16" t="str">
        <x:v>2000548550-Y111</x:v>
      </x:c>
      <x:c r="C14" s="16" t="str">
        <x:v>ЛЕНТА ЛЭСП 0,2*25ММ</x:v>
      </x:c>
      <x:c r="D14" s="16" t="str">
        <x:v>Электроизоляционные материалы</x:v>
      </x:c>
      <x:c r="E14" s="16" t="str">
        <x:v>М</x:v>
      </x:c>
      <x:c r="F14" s="21" t="n">
        <x:v>140</x:v>
      </x:c>
      <x:c r="G14" s="17" t="n">
        <x:v>4.0992</x:v>
      </x:c>
      <x:c r="H14" s="17" t="n">
        <x:f>G14*F14</x:f>
        <x:v>573.8879999999999</x:v>
      </x:c>
      <x:c r="I14" s="22" t="str">
        <x:f>HYPERLINK("https://etp-aktiv.ru/catalog/materialy/ehlektroizolyacionnye-materialy/2000548550-Y111/","Открыть позицию")</x:f>
        <x:v>Открыть позицию</x:v>
      </x:c>
    </x:row>
    <x:row r="15" ht="28" customHeight="1">
      <x:c r="A15" s="16" t="str">
        <x:v>Новосибирская ТЭЦ-2</x:v>
      </x:c>
      <x:c r="B15" s="16" t="str">
        <x:v>2000664951-Y111</x:v>
      </x:c>
      <x:c r="C15" s="16" t="str">
        <x:v>ПАТРОН СТОЕЧНЫЙ G13 TDM SQ0351-0026</x:v>
      </x:c>
      <x:c r="D15" s="16" t="str">
        <x:v>Прочие электротехнические материалы</x:v>
      </x:c>
      <x:c r="E15" s="16" t="str">
        <x:v>ШТ</x:v>
      </x:c>
      <x:c r="F15" s="21" t="n">
        <x:v>80</x:v>
      </x:c>
      <x:c r="G15" s="17" t="n">
        <x:v>8.3936</x:v>
      </x:c>
      <x:c r="H15" s="17" t="n">
        <x:f>G15*F15</x:f>
        <x:v>671.4879999999999</x:v>
      </x:c>
      <x:c r="I15" s="22" t="str">
        <x:f>HYPERLINK("https://etp-aktiv.ru/catalog/materialy/ehlektrotekhnicheskie-materialy/2000664951-Y111/","Открыть позицию")</x:f>
        <x:v>Открыть позицию</x:v>
      </x:c>
    </x:row>
    <x:row r="16" ht="28" customHeight="1">
      <x:c r="A16" s="16" t="str">
        <x:v>Новосибирская ТЭЦ-2</x:v>
      </x:c>
      <x:c r="B16" s="16" t="str">
        <x:v>2000992355-Y111</x:v>
      </x:c>
      <x:c r="C16" s="16" t="str">
        <x:v>ПОЛУМУФТА 45С.03133-4А-436ТХ-4-3-2-22</x:v>
      </x:c>
      <x:c r="D16" s="16" t="str">
        <x:v>Запасные части к электродвигателям</x:v>
      </x:c>
      <x:c r="E16" s="16" t="str">
        <x:v>ШТ</x:v>
      </x:c>
      <x:c r="F16" s="21" t="n">
        <x:v>1</x:v>
      </x:c>
      <x:c r="G16" s="17" t="n">
        <x:v>5053.8622000000005</x:v>
      </x:c>
      <x:c r="H16" s="17" t="n">
        <x:f>G16*F16</x:f>
        <x:v>5053.8622000000005</x:v>
      </x:c>
      <x:c r="I16" s="22" t="str">
        <x:f>HYPERLINK("https://etp-aktiv.ru/catalog/materialy/ehlektrotekhnicheskie-materialy/2000992355-Y111/","Открыть позицию")</x:f>
        <x:v>Открыть позицию</x:v>
      </x:c>
    </x:row>
    <x:row r="17" ht="28" customHeight="1">
      <x:c r="A17" s="16" t="str">
        <x:v>Новосибирская ТЭЦ-2</x:v>
      </x:c>
      <x:c r="B17" s="16" t="str">
        <x:v>2000307138-Y111</x:v>
      </x:c>
      <x:c r="C17" s="16" t="str">
        <x:v>СЛЮДОПЛАСТ ФИФК-ТПЛ 0,25</x:v>
      </x:c>
      <x:c r="D17" s="16" t="str">
        <x:v>Электроизоляционные материалы</x:v>
      </x:c>
      <x:c r="E17" s="16" t="str">
        <x:v>КГ</x:v>
      </x:c>
      <x:c r="F17" s="29" t="n">
        <x:v>0.5</x:v>
      </x:c>
      <x:c r="G17" s="17" t="n">
        <x:v>1500.0022</x:v>
      </x:c>
      <x:c r="H17" s="17" t="n">
        <x:f>G17*F17</x:f>
        <x:v>750.0011</x:v>
      </x:c>
      <x:c r="I17" s="22" t="str">
        <x:f>HYPERLINK("https://etp-aktiv.ru/catalog/materialy/ehlektroizolyacionnye-materialy/2000307138-Y111/","Открыть позицию")</x:f>
        <x:v>Открыть позицию</x:v>
      </x:c>
    </x:row>
    <x:row r="18" ht="28" customHeight="1">
      <x:c r="A18" s="16" t="str">
        <x:v>Новосибирская ТЭЦ-2</x:v>
      </x:c>
      <x:c r="B18" s="16" t="str">
        <x:v>2000730393-Y111</x:v>
      </x:c>
      <x:c r="C18" s="16" t="str">
        <x:v>ХОЛОДИЛЬНИК ОДНОТОЧЕЧНЫЙ Д-133-1</x:v>
      </x:c>
      <x:c r="D18" s="16" t="str">
        <x:v>Запасные части и принадлежности для приборов КИПиА</x:v>
      </x:c>
      <x:c r="E18" s="16" t="str">
        <x:v>ШТ</x:v>
      </x:c>
      <x:c r="F18" s="21" t="n">
        <x:v>2</x:v>
      </x:c>
      <x:c r="G18" s="17" t="n">
        <x:v>7151.701</x:v>
      </x:c>
      <x:c r="H18" s="17" t="n">
        <x:f>G18*F18</x:f>
        <x:v>14303.402</x:v>
      </x:c>
      <x:c r="I18" s="22" t="str">
        <x:f>HYPERLINK("https://etp-aktiv.ru/catalog/materialy/zapasnye-chasti-i-prinadlezhnosti-dlya-priborov-kipia/2000730393-Y111/","Открыть позицию")</x:f>
        <x:v>Открыть позицию</x:v>
      </x:c>
    </x:row>
    <x:row r="19" ht="28" customHeight="1">
      <x:c r="A19" s="16" t="str">
        <x:v>Новосибирская ТЭЦ-3</x:v>
      </x:c>
      <x:c r="B19" s="16" t="str">
        <x:v>2000535491-Y112</x:v>
      </x:c>
      <x:c r="C19" s="16" t="str">
        <x:v>ВЫКЛ ВА57-39-340010-250А-1000-690AC-УХЛ3</x:v>
      </x:c>
      <x:c r="D19" s="16" t="str">
        <x:v>Низковольтная аппаратура и запасные части</x:v>
      </x:c>
      <x:c r="E19" s="16" t="str">
        <x:v>ШТ</x:v>
      </x:c>
      <x:c r="F19" s="21" t="n">
        <x:v>1</x:v>
      </x:c>
      <x:c r="G19" s="17" t="n">
        <x:v>6735.9372</x:v>
      </x:c>
      <x:c r="H19" s="17" t="n">
        <x:f>G19*F19</x:f>
        <x:v>6735.9372</x:v>
      </x:c>
      <x:c r="I19" s="22" t="str">
        <x:f>HYPERLINK("https://etp-aktiv.ru/catalog/materialy/nizkovoltnaya-apparatura-i-zapasnye-chasti/2000535491-Y112/","Открыть позицию")</x:f>
        <x:v>Открыть позицию</x:v>
      </x:c>
    </x:row>
    <x:row r="20" ht="28" customHeight="1">
      <x:c r="A20" s="16" t="str">
        <x:v>Новосибирская ТЭЦ-3</x:v>
      </x:c>
      <x:c r="B20" s="16" t="str">
        <x:v>2000157866-Y112</x:v>
      </x:c>
      <x:c r="C20" s="16" t="str">
        <x:v>ИЗОЛЕНТА ПВХ SAFELINE 15*10ММ КРАСНЫЙ</x:v>
      </x:c>
      <x:c r="D20" s="16" t="str">
        <x:v>Электроизоляционные материалы</x:v>
      </x:c>
      <x:c r="E20" s="16" t="str">
        <x:v>ШТ</x:v>
      </x:c>
      <x:c r="F20" s="21" t="n">
        <x:v>24</x:v>
      </x:c>
      <x:c r="G20" s="17" t="n">
        <x:v>6.1</x:v>
      </x:c>
      <x:c r="H20" s="17" t="n">
        <x:f>G20*F20</x:f>
        <x:v>146.39999999999998</x:v>
      </x:c>
      <x:c r="I20" s="22" t="str">
        <x:f>HYPERLINK("https://etp-aktiv.ru/catalog/materialy/ehlektroizolyacionnye-materialy/2000157866-Y112/","Открыть позицию")</x:f>
        <x:v>Открыть позицию</x:v>
      </x:c>
    </x:row>
    <x:row r="21" ht="28" customHeight="1">
      <x:c r="A21" s="16" t="str">
        <x:v>Новосибирская ТЭЦ-3</x:v>
      </x:c>
      <x:c r="B21" s="16" t="str">
        <x:v>2000379128-Y112</x:v>
      </x:c>
      <x:c r="C21" s="16" t="str">
        <x:v>ИЗОЛЕНТА ПВХ TDM 0,15*19ММ*20М СИНЯЯ</x:v>
      </x:c>
      <x:c r="D21" s="16" t="str">
        <x:v>Электроизоляционные материалы</x:v>
      </x:c>
      <x:c r="E21" s="16" t="str">
        <x:v>ШТ</x:v>
      </x:c>
      <x:c r="F21" s="21" t="n">
        <x:v>4</x:v>
      </x:c>
      <x:c r="G21" s="17" t="n">
        <x:v>17.08</x:v>
      </x:c>
      <x:c r="H21" s="17" t="n">
        <x:f>G21*F21</x:f>
        <x:v>68.32</x:v>
      </x:c>
      <x:c r="I21" s="22" t="str">
        <x:f>HYPERLINK("https://etp-aktiv.ru/catalog/materialy/ehlektroizolyacionnye-materialy/2000379128-Y112/","Открыть позицию")</x:f>
        <x:v>Открыть позицию</x:v>
      </x:c>
    </x:row>
    <x:row r="22" ht="28" customHeight="1">
      <x:c r="A22" s="16" t="str">
        <x:v>Новосибирская ТЭЦ-3</x:v>
      </x:c>
      <x:c r="B22" s="16" t="str">
        <x:v>2000549373-Y112</x:v>
      </x:c>
      <x:c r="C22" s="16" t="str">
        <x:v>КОРПУС ЗАЩИТНЫЙ ПЛАСТИК С ФЛАНЦЕМ G313MF</x:v>
      </x:c>
      <x:c r="D22" s="16" t="str">
        <x:v>Изделия радиоэлектронной техники</x:v>
      </x:c>
      <x:c r="E22" s="16" t="str">
        <x:v>ШТ</x:v>
      </x:c>
      <x:c r="F22" s="21" t="n">
        <x:v>4</x:v>
      </x:c>
      <x:c r="G22" s="17" t="n">
        <x:v>64.05</x:v>
      </x:c>
      <x:c r="H22" s="17" t="n">
        <x:f>G22*F22</x:f>
        <x:v>256.2</x:v>
      </x:c>
      <x:c r="I22" s="22" t="str">
        <x:f>HYPERLINK("https://etp-aktiv.ru/catalog/materialy/prochie-materialy/2000549373-Y112/","Открыть позицию")</x:f>
        <x:v>Открыть позицию</x:v>
      </x:c>
    </x:row>
    <x:row r="23" ht="28" customHeight="1">
      <x:c r="A23" s="16" t="str">
        <x:v>Новосибирская ТЭЦ-3</x:v>
      </x:c>
      <x:c r="B23" s="16" t="str">
        <x:v>2000548537-Y112</x:v>
      </x:c>
      <x:c r="C23" s="16" t="str">
        <x:v>ЛЕНТА КИПЕРНАЯ ЛК 25ММ</x:v>
      </x:c>
      <x:c r="D23" s="16" t="str">
        <x:v>Электроизоляционные материалы</x:v>
      </x:c>
      <x:c r="E23" s="16" t="str">
        <x:v>М</x:v>
      </x:c>
      <x:c r="F23" s="30" t="n">
        <x:v>1197.4</x:v>
      </x:c>
      <x:c r="G23" s="17" t="n">
        <x:v>0.7198</x:v>
      </x:c>
      <x:c r="H23" s="17" t="n">
        <x:f>G23*F23</x:f>
        <x:v>861.8885200000001</x:v>
      </x:c>
      <x:c r="I23" s="22" t="str">
        <x:f>HYPERLINK("https://etp-aktiv.ru/catalog/materialy/ehlektroizolyacionnye-materialy/2000548537-Y112/","Открыть позицию")</x:f>
        <x:v>Открыть позицию</x:v>
      </x:c>
    </x:row>
    <x:row r="24" ht="28" customHeight="1">
      <x:c r="A24" s="16" t="str">
        <x:v>Новосибирская ТЭЦ-3</x:v>
      </x:c>
      <x:c r="B24" s="16" t="str">
        <x:v>2000512629-Y112</x:v>
      </x:c>
      <x:c r="C24" s="16" t="str">
        <x:v>ЛЕНТА КИПЕРНАЯ ЛЭ-15-13 Х/Б 15ММ</x:v>
      </x:c>
      <x:c r="D24" s="16" t="str">
        <x:v>Электроизоляционные материалы</x:v>
      </x:c>
      <x:c r="E24" s="16" t="str">
        <x:v>М</x:v>
      </x:c>
      <x:c r="F24" s="30" t="n">
        <x:v>3906.056</x:v>
      </x:c>
      <x:c r="G24" s="17" t="n">
        <x:v>0.7198</x:v>
      </x:c>
      <x:c r="H24" s="17" t="n">
        <x:f>G24*F24</x:f>
        <x:v>2811.5791088</x:v>
      </x:c>
      <x:c r="I24" s="22" t="str">
        <x:f>HYPERLINK("https://etp-aktiv.ru/catalog/materialy/ehlektroizolyacionnye-materialy/2000512629-Y112/","Открыть позицию")</x:f>
        <x:v>Открыть позицию</x:v>
      </x:c>
    </x:row>
    <x:row r="25" ht="28" customHeight="1">
      <x:c r="A25" s="16" t="str">
        <x:v>Новосибирская ТЭЦ-3</x:v>
      </x:c>
      <x:c r="B25" s="16" t="str">
        <x:v>2000556112-Y112</x:v>
      </x:c>
      <x:c r="C25" s="16" t="str">
        <x:v>ЛЕНТА КИПЕРНАЯ ЛЭ-25-36 25ММ</x:v>
      </x:c>
      <x:c r="D25" s="16" t="str">
        <x:v>Электроизоляционные материалы</x:v>
      </x:c>
      <x:c r="E25" s="16" t="str">
        <x:v>М</x:v>
      </x:c>
      <x:c r="F25" s="21" t="n">
        <x:v>400</x:v>
      </x:c>
      <x:c r="G25" s="17" t="n">
        <x:v>1.0735999999999999</x:v>
      </x:c>
      <x:c r="H25" s="17" t="n">
        <x:f>G25*F25</x:f>
        <x:v>429.43999999999994</x:v>
      </x:c>
      <x:c r="I25" s="22" t="str">
        <x:f>HYPERLINK("https://etp-aktiv.ru/catalog/materialy/ehlektroizolyacionnye-materialy/2000556112-Y112/","Открыть позицию")</x:f>
        <x:v>Открыть позицию</x:v>
      </x:c>
    </x:row>
    <x:row r="26" ht="28" customHeight="1">
      <x:c r="A26" s="16" t="str">
        <x:v>Новосибирская ТЭЦ-3</x:v>
      </x:c>
      <x:c r="B26" s="16" t="str">
        <x:v>2000548580-Y112</x:v>
      </x:c>
      <x:c r="C26" s="16" t="str">
        <x:v>ПЛЕНКА ФТОРОПЛАСТОВАЯ Ф-4 ЭО 0,04*60ММ</x:v>
      </x:c>
      <x:c r="D26" s="16" t="str">
        <x:v>Электроизоляционные материалы</x:v>
      </x:c>
      <x:c r="E26" s="16" t="str">
        <x:v>КГ</x:v>
      </x:c>
      <x:c r="F26" s="30" t="n">
        <x:v>1.09</x:v>
      </x:c>
      <x:c r="G26" s="17" t="n">
        <x:v>2600.2348</x:v>
      </x:c>
      <x:c r="H26" s="17" t="n">
        <x:f>G26*F26</x:f>
        <x:v>2834.2559320000005</x:v>
      </x:c>
      <x:c r="I26" s="22" t="str">
        <x:f>HYPERLINK("https://etp-aktiv.ru/catalog/materialy/ehlektroizolyacionnye-materialy/2000548580-Y112/","Открыть позицию")</x:f>
        <x:v>Открыть позицию</x:v>
      </x:c>
    </x:row>
    <x:row r="27" ht="28" customHeight="1">
      <x:c r="A27" s="16" t="str">
        <x:v>Новосибирская ТЭЦ-3</x:v>
      </x:c>
      <x:c r="B27" s="16" t="str">
        <x:v>2000033928-Y112</x:v>
      </x:c>
      <x:c r="C27" s="16" t="str">
        <x:v>ПЛЕНКОЭЛЕКТРОКАРТОН ПЭК 0,32ММ</x:v>
      </x:c>
      <x:c r="D27" s="16" t="str">
        <x:v>Электроизоляционные материалы</x:v>
      </x:c>
      <x:c r="E27" s="16" t="str">
        <x:v>КГ</x:v>
      </x:c>
      <x:c r="F27" s="21" t="n">
        <x:v>28</x:v>
      </x:c>
      <x:c r="G27" s="17" t="n">
        <x:v>320.00600000000003</x:v>
      </x:c>
      <x:c r="H27" s="17" t="n">
        <x:f>G27*F27</x:f>
        <x:v>8960.168000000001</x:v>
      </x:c>
      <x:c r="I27" s="22" t="str">
        <x:f>HYPERLINK("https://etp-aktiv.ru/catalog/materialy/ehlektroizolyacionnye-materialy/2000033928-Y112/","Открыть позицию")</x:f>
        <x:v>Открыть позицию</x:v>
      </x:c>
    </x:row>
    <x:row r="28" ht="28" customHeight="1">
      <x:c r="A28" s="16" t="str">
        <x:v>Новосибирская ТЭЦ-3</x:v>
      </x:c>
      <x:c r="B28" s="16" t="str">
        <x:v>2000570587-Y112</x:v>
      </x:c>
      <x:c r="C28" s="16" t="str">
        <x:v>ПЛЕНКОЭЛЕКТРОКАРТОН СИНТОФЛЕКС-41 0,45ММ</x:v>
      </x:c>
      <x:c r="D28" s="16" t="str">
        <x:v>Электроизоляционные материалы</x:v>
      </x:c>
      <x:c r="E28" s="16" t="str">
        <x:v>КГ</x:v>
      </x:c>
      <x:c r="F28" s="30" t="n">
        <x:v>11.6</x:v>
      </x:c>
      <x:c r="G28" s="17" t="n">
        <x:v>348.005</x:v>
      </x:c>
      <x:c r="H28" s="17" t="n">
        <x:f>G28*F28</x:f>
        <x:v>4036.8579999999997</x:v>
      </x:c>
      <x:c r="I28" s="22" t="str">
        <x:f>HYPERLINK("https://etp-aktiv.ru/catalog/materialy/ehlektroizolyacionnye-materialy/2000570587-Y112/","Открыть позицию")</x:f>
        <x:v>Открыть позицию</x:v>
      </x:c>
    </x:row>
    <x:row r="29" ht="28" customHeight="1">
      <x:c r="A29" s="16" t="str">
        <x:v>Новосибирская ТЭЦ-3</x:v>
      </x:c>
      <x:c r="B29" s="16" t="str">
        <x:v>2000584269-Y112</x:v>
      </x:c>
      <x:c r="C29" s="16" t="str">
        <x:v>ПРЕОБР Е854 0-5А 4-20МА 220В IP5X ТУ РБ</x:v>
      </x:c>
      <x:c r="D29" s="16" t="str">
        <x:v>Низковольтная аппаратура и запасные части спец-е и под заказ</x:v>
      </x:c>
      <x:c r="E29" s="16" t="str">
        <x:v>ШТ</x:v>
      </x:c>
      <x:c r="F29" s="21" t="n">
        <x:v>4</x:v>
      </x:c>
      <x:c r="G29" s="17" t="n">
        <x:v>876.875</x:v>
      </x:c>
      <x:c r="H29" s="17" t="n">
        <x:f>G29*F29</x:f>
        <x:v>3507.5</x:v>
      </x:c>
      <x:c r="I29" s="22" t="str">
        <x:f>HYPERLINK("https://etp-aktiv.ru/catalog/materialy/nizkovoltnaya-apparatura-i-zapasnye-chasti/2000584269-Y112/","Открыть позицию")</x:f>
        <x:v>Открыть позицию</x:v>
      </x:c>
    </x:row>
    <x:row r="30" ht="28" customHeight="1">
      <x:c r="A30" s="16" t="str">
        <x:v>Новосибирская ТЭЦ-3</x:v>
      </x:c>
      <x:c r="B30" s="16" t="str">
        <x:v>5000058492-Y112</x:v>
      </x:c>
      <x:c r="C30" s="16" t="str">
        <x:v>РАДИОПРИЕМНИК НЕЙВА АГ-304</x:v>
      </x:c>
      <x:c r="D30" s="16" t="str">
        <x:v>Оборудование радиосвязи</x:v>
      </x:c>
      <x:c r="E30" s="16" t="str">
        <x:v>ШТ</x:v>
      </x:c>
      <x:c r="F30" s="21" t="n">
        <x:v>4</x:v>
      </x:c>
      <x:c r="G30" s="17" t="n">
        <x:v>70.6136</x:v>
      </x:c>
      <x:c r="H30" s="17" t="n">
        <x:f>G30*F30</x:f>
        <x:v>282.4544</x:v>
      </x:c>
      <x:c r="I30" s="22" t="str">
        <x:f>HYPERLINK("https://etp-aktiv.ru/catalog/materialy/komplektuyushchie-i-zapasnye-chasti-k-kompyuternomu-i-ofisnomu-oborudovaniyu/5000058492-Y112/","Открыть позицию")</x:f>
        <x:v>Открыть позицию</x:v>
      </x:c>
    </x:row>
    <x:row r="31" ht="28" customHeight="1">
      <x:c r="A31" s="16" t="str">
        <x:v>Новосибирская ТЭЦ-3</x:v>
      </x:c>
      <x:c r="B31" s="16" t="str">
        <x:v>2000910200-Y112</x:v>
      </x:c>
      <x:c r="C31" s="16" t="str">
        <x:v>РОЗЕТКА CUGT216-12 2CMA179299R1000 16А</x:v>
      </x:c>
      <x:c r="D31" s="16" t="str">
        <x:v>Осветительная продукция и изделия электроустановочные</x:v>
      </x:c>
      <x:c r="E31" s="16" t="str">
        <x:v>ШТ</x:v>
      </x:c>
      <x:c r="F31" s="21" t="n">
        <x:v>15</x:v>
      </x:c>
      <x:c r="G31" s="17" t="n">
        <x:v>1147.6052</x:v>
      </x:c>
      <x:c r="H31" s="17" t="n">
        <x:f>G31*F31</x:f>
        <x:v>17214.078</x:v>
      </x:c>
      <x:c r="I31" s="22" t="str">
        <x:f>HYPERLINK("https://etp-aktiv.ru/catalog/materialy/ehlektrotekhnicheskie-materialy/2000910200-Y112/","Открыть позицию")</x:f>
        <x:v>Открыть позицию</x:v>
      </x:c>
    </x:row>
    <x:row r="32" ht="28" customHeight="1">
      <x:c r="A32" s="16" t="str">
        <x:v>Новосибирская ТЭЦ-3</x:v>
      </x:c>
      <x:c r="B32" s="16" t="str">
        <x:v>2000264576-Y112</x:v>
      </x:c>
      <x:c r="C32" s="16" t="str">
        <x:v>РОЗЕТКА NIKOMAX RJ45/8P8C NMC-WO2UD2-WT</x:v>
      </x:c>
      <x:c r="D32" s="16" t="str">
        <x:v>Комплектующие и запасные части к компьютерному и офисному об</x:v>
      </x:c>
      <x:c r="E32" s="16" t="str">
        <x:v>ШТ</x:v>
      </x:c>
      <x:c r="F32" s="21" t="n">
        <x:v>2</x:v>
      </x:c>
      <x:c r="G32" s="17" t="n">
        <x:v>137.6404</x:v>
      </x:c>
      <x:c r="H32" s="17" t="n">
        <x:f>G32*F32</x:f>
        <x:v>275.2808</x:v>
      </x:c>
      <x:c r="I32" s="22" t="str">
        <x:f>HYPERLINK("https://etp-aktiv.ru/catalog/materialy/komplektuyushchie-i-zapasnye-chasti-k-kompyuternomu-i-ofisnomu-oborudovaniyu/2000264576-Y112/","Открыть позицию")</x:f>
        <x:v>Открыть позицию</x:v>
      </x:c>
    </x:row>
    <x:row r="33" ht="28" customHeight="1">
      <x:c r="A33" s="16" t="str">
        <x:v>Новосибирская ТЭЦ-3</x:v>
      </x:c>
      <x:c r="B33" s="16" t="str">
        <x:v>2000693057-Y112</x:v>
      </x:c>
      <x:c r="C33" s="16" t="str">
        <x:v>СВЕТИЛЬНИК НПБ1202 SQ0303-0038 Е27 100</x:v>
      </x:c>
      <x:c r="D33" s="16" t="str">
        <x:v>Осветительная продукция и изделия электроустановочные</x:v>
      </x:c>
      <x:c r="E33" s="16" t="str">
        <x:v>ШТ</x:v>
      </x:c>
      <x:c r="F33" s="21" t="n">
        <x:v>5</x:v>
      </x:c>
      <x:c r="G33" s="17" t="n">
        <x:v>45.7744</x:v>
      </x:c>
      <x:c r="H33" s="17" t="n">
        <x:f>G33*F33</x:f>
        <x:v>228.872</x:v>
      </x:c>
      <x:c r="I33" s="22" t="str">
        <x:f>HYPERLINK("https://etp-aktiv.ru/catalog/materialy/ehlektrotekhnicheskie-materialy/2000693057-Y112/","Открыть позицию")</x:f>
        <x:v>Открыть позицию</x:v>
      </x:c>
    </x:row>
    <x:row r="34" ht="28" customHeight="1">
      <x:c r="A34" s="16" t="str">
        <x:v>Новосибирская ТЭЦ-3</x:v>
      </x:c>
      <x:c r="B34" s="16" t="str">
        <x:v>2000040989-Y112</x:v>
      </x:c>
      <x:c r="C34" s="16" t="str">
        <x:v>СТ/ТЕКСТОЛИТ ЛИСТ СТЭФ 5ММ ГОСТ12652</x:v>
      </x:c>
      <x:c r="D34" s="16" t="str">
        <x:v>Электроизоляционные материалы</x:v>
      </x:c>
      <x:c r="E34" s="16" t="str">
        <x:v>КГ</x:v>
      </x:c>
      <x:c r="F34" s="29" t="n">
        <x:v>0.86</x:v>
      </x:c>
      <x:c r="G34" s="17" t="n">
        <x:v>692.1426</x:v>
      </x:c>
      <x:c r="H34" s="17" t="n">
        <x:f>G34*F34</x:f>
        <x:v>595.242636</x:v>
      </x:c>
      <x:c r="I34" s="22" t="str">
        <x:f>HYPERLINK("https://etp-aktiv.ru/catalog/materialy/ehlektroizolyacionnye-materialy/2000040989-Y112/","Открыть позицию")</x:f>
        <x:v>Открыть позицию</x:v>
      </x:c>
    </x:row>
    <x:row r="35" ht="28" customHeight="1">
      <x:c r="A35" s="16" t="str">
        <x:v>Новосибирская ТЭЦ-3</x:v>
      </x:c>
      <x:c r="B35" s="16" t="str">
        <x:v>2000548609-Y112</x:v>
      </x:c>
      <x:c r="C35" s="16" t="str">
        <x:v>СТ/ТЕКСТОЛИТ СТЭФ-У 3,0ММ</x:v>
      </x:c>
      <x:c r="D35" s="16" t="str">
        <x:v>Электроизоляционные материалы</x:v>
      </x:c>
      <x:c r="E35" s="16" t="str">
        <x:v>КГ</x:v>
      </x:c>
      <x:c r="F35" s="29" t="n">
        <x:v>0.29</x:v>
      </x:c>
      <x:c r="G35" s="17" t="n">
        <x:v>289.1644</x:v>
      </x:c>
      <x:c r="H35" s="17" t="n">
        <x:f>G35*F35</x:f>
        <x:v>83.857676</x:v>
      </x:c>
      <x:c r="I35" s="22" t="str">
        <x:f>HYPERLINK("https://etp-aktiv.ru/catalog/materialy/ehlektroizolyacionnye-materialy/2000548609-Y112/","Открыть позицию")</x:f>
        <x:v>Открыть позицию</x:v>
      </x:c>
    </x:row>
    <x:row r="36" ht="28" customHeight="1">
      <x:c r="A36" s="16" t="str">
        <x:v>Новосибирская ТЭЦ-3</x:v>
      </x:c>
      <x:c r="B36" s="16" t="str">
        <x:v>2000548610-Y112</x:v>
      </x:c>
      <x:c r="C36" s="16" t="str">
        <x:v>СТ/ТЕКСТОЛИТ СТЭФ-У 6,0ММ</x:v>
      </x:c>
      <x:c r="D36" s="16" t="str">
        <x:v>Электроизоляционные материалы</x:v>
      </x:c>
      <x:c r="E36" s="16" t="str">
        <x:v>КГ</x:v>
      </x:c>
      <x:c r="F36" s="30" t="n">
        <x:v>8.36</x:v>
      </x:c>
      <x:c r="G36" s="17" t="n">
        <x:v>215.025</x:v>
      </x:c>
      <x:c r="H36" s="17" t="n">
        <x:f>G36*F36</x:f>
        <x:v>1797.609</x:v>
      </x:c>
      <x:c r="I36" s="22" t="str">
        <x:f>HYPERLINK("https://etp-aktiv.ru/catalog/materialy/ehlektroizolyacionnye-materialy/2000548610-Y112/","Открыть позицию")</x:f>
        <x:v>Открыть позицию</x:v>
      </x:c>
    </x:row>
    <x:row r="37" ht="28" customHeight="1">
      <x:c r="A37" s="16" t="str">
        <x:v>Новосибирская ТЭЦ-3</x:v>
      </x:c>
      <x:c r="B37" s="16" t="str">
        <x:v>2000548631-Y112</x:v>
      </x:c>
      <x:c r="C37" s="16" t="str">
        <x:v>СТЕРЖЕНЬ ФТОРОПЛАСТ Ф-4 50*1000ММ</x:v>
      </x:c>
      <x:c r="D37" s="16" t="str">
        <x:v>Электроизоляционные материалы</x:v>
      </x:c>
      <x:c r="E37" s="16" t="str">
        <x:v>КГ</x:v>
      </x:c>
      <x:c r="F37" s="30" t="n">
        <x:v>4.8</x:v>
      </x:c>
      <x:c r="G37" s="17" t="n">
        <x:v>774.639</x:v>
      </x:c>
      <x:c r="H37" s="17" t="n">
        <x:f>G37*F37</x:f>
        <x:v>3718.2672</x:v>
      </x:c>
      <x:c r="I37" s="22" t="str">
        <x:f>HYPERLINK("https://etp-aktiv.ru/catalog/materialy/ehlektroizolyacionnye-materialy/2000548631-Y112/","Открыть позицию")</x:f>
        <x:v>Открыть позицию</x:v>
      </x:c>
    </x:row>
    <x:row r="38" ht="28" customHeight="1">
      <x:c r="A38" s="16" t="str">
        <x:v>Новосибирская ТЭЦ-3</x:v>
      </x:c>
      <x:c r="B38" s="16" t="str">
        <x:v>2000548618-Y112</x:v>
      </x:c>
      <x:c r="C38" s="16" t="str">
        <x:v>СТЕРЖЕНЬ ФТОРОПЛАСТ-4 ПН 80 ТУ6-05-810</x:v>
      </x:c>
      <x:c r="D38" s="16" t="str">
        <x:v>Электроизоляционные материалы</x:v>
      </x:c>
      <x:c r="E38" s="16" t="str">
        <x:v>КГ</x:v>
      </x:c>
      <x:c r="F38" s="30" t="n">
        <x:v>2.26</x:v>
      </x:c>
      <x:c r="G38" s="17" t="n">
        <x:v>792.1582</x:v>
      </x:c>
      <x:c r="H38" s="17" t="n">
        <x:f>G38*F38</x:f>
        <x:v>1790.2775319999998</x:v>
      </x:c>
      <x:c r="I38" s="22" t="str">
        <x:f>HYPERLINK("https://etp-aktiv.ru/catalog/materialy/ehlektroizolyacionnye-materialy/2000548618-Y112/","Открыть позицию")</x:f>
        <x:v>Открыть позицию</x:v>
      </x:c>
    </x:row>
    <x:row r="39" ht="28" customHeight="1">
      <x:c r="A39" s="16" t="str">
        <x:v>Новосибирская ТЭЦ-3</x:v>
      </x:c>
      <x:c r="B39" s="16" t="str">
        <x:v>2000624277-Y112</x:v>
      </x:c>
      <x:c r="C39" s="16" t="str">
        <x:v>ТЕКСТОЛИТ Б 4ММ</x:v>
      </x:c>
      <x:c r="D39" s="16" t="str">
        <x:v>Электроизоляционные материалы</x:v>
      </x:c>
      <x:c r="E39" s="16" t="str">
        <x:v>КГ</x:v>
      </x:c>
      <x:c r="F39" s="30" t="n">
        <x:v>16.2</x:v>
      </x:c>
      <x:c r="G39" s="17" t="n">
        <x:v>324.9104</x:v>
      </x:c>
      <x:c r="H39" s="17" t="n">
        <x:f>G39*F39</x:f>
        <x:v>5263.5484799999995</x:v>
      </x:c>
      <x:c r="I39" s="22" t="str">
        <x:f>HYPERLINK("https://etp-aktiv.ru/catalog/materialy/ehlektroizolyacionnye-materialy/2000624277-Y112/","Открыть позицию")</x:f>
        <x:v>Открыть позицию</x:v>
      </x:c>
    </x:row>
    <x:row r="40" ht="28" customHeight="1">
      <x:c r="A40" s="16" t="str">
        <x:v>Новосибирская ТЭЦ-3</x:v>
      </x:c>
      <x:c r="B40" s="16" t="str">
        <x:v>2000241228-Y112</x:v>
      </x:c>
      <x:c r="C40" s="16" t="str">
        <x:v>УКАЗКА ЛАЗЕРНАЯ NOBO P2</x:v>
      </x:c>
      <x:c r="D40" s="16" t="str">
        <x:v>Комплектующие и запасные части к компьютерному и офисному об</x:v>
      </x:c>
      <x:c r="E40" s="16" t="str">
        <x:v>ШТ</x:v>
      </x:c>
      <x:c r="F40" s="21" t="n">
        <x:v>1</x:v>
      </x:c>
      <x:c r="G40" s="17" t="n">
        <x:v>439.3342</x:v>
      </x:c>
      <x:c r="H40" s="17" t="n">
        <x:f>G40*F40</x:f>
        <x:v>439.3342</x:v>
      </x:c>
      <x:c r="I40" s="22" t="str">
        <x:f>HYPERLINK("https://etp-aktiv.ru/catalog/materialy/komplektuyushchie-i-zapasnye-chasti-k-kompyuternomu-i-ofisnomu-oborudovaniyu/2000241228-Y112/","Открыть позицию")</x:f>
        <x:v>Открыть позицию</x:v>
      </x:c>
    </x:row>
    <x:row r="41" ht="28" customHeight="1">
      <x:c r="A41" s="16" t="str">
        <x:v>Новосибирская ТЭЦ-3</x:v>
      </x:c>
      <x:c r="B41" s="16" t="str">
        <x:v>2000548737-Y112</x:v>
      </x:c>
      <x:c r="C41" s="16" t="str">
        <x:v>ШНУР-ЧУЛОК ЛАВСАН ПЭ 3 8153-001-00214936</x:v>
      </x:c>
      <x:c r="D41" s="16" t="str">
        <x:v>Электроизоляционные материалы</x:v>
      </x:c>
      <x:c r="E41" s="16" t="str">
        <x:v>М</x:v>
      </x:c>
      <x:c r="F41" s="21" t="n">
        <x:v>3300</x:v>
      </x:c>
      <x:c r="G41" s="17" t="n">
        <x:v>2.0008</x:v>
      </x:c>
      <x:c r="H41" s="17" t="n">
        <x:f>G41*F41</x:f>
        <x:v>6602.639999999999</x:v>
      </x:c>
      <x:c r="I41" s="22" t="str">
        <x:f>HYPERLINK("https://etp-aktiv.ru/catalog/materialy/ehlektroizolyacionnye-materialy/2000548737-Y112/","Открыть позицию")</x:f>
        <x:v>Открыть позицию</x:v>
      </x:c>
    </x:row>
    <x:row r="42" ht="28" customHeight="1">
      <x:c r="A42" s="16" t="str">
        <x:v>Новосибирская ТЭЦ-3</x:v>
      </x:c>
      <x:c r="B42" s="16" t="str">
        <x:v>2000151345-Y112</x:v>
      </x:c>
      <x:c r="C42" s="16" t="str">
        <x:v>ЭЛЕКТРОД ЭСР-10103/3,5 К80.4</x:v>
      </x:c>
      <x:c r="D42" s="16" t="str">
        <x:v>Запасные части и принадлежности для приборов КИПиА</x:v>
      </x:c>
      <x:c r="E42" s="16" t="str">
        <x:v>ШТ</x:v>
      </x:c>
      <x:c r="F42" s="21" t="n">
        <x:v>3</x:v>
      </x:c>
      <x:c r="G42" s="17" t="n">
        <x:v>253.45499999999998</x:v>
      </x:c>
      <x:c r="H42" s="17" t="n">
        <x:f>G42*F42</x:f>
        <x:v>760.365</x:v>
      </x:c>
      <x:c r="I42" s="22" t="str">
        <x:f>HYPERLINK("https://etp-aktiv.ru/catalog/materialy/zapasnye-chasti-i-prinadlezhnosti-dlya-priborov-kipia/2000151345-Y112/","Открыть позицию")</x:f>
        <x:v>Открыть позицию</x:v>
      </x:c>
    </x:row>
    <x:row r="43" ht="28" customHeight="1">
      <x:c r="A43" s="16" t="str">
        <x:v>Новосибирская ТЭЦ-4</x:v>
      </x:c>
      <x:c r="B43" s="16" t="str">
        <x:v>2000544813-Y113</x:v>
      </x:c>
      <x:c r="C43" s="16" t="str">
        <x:v>А ЛАМПА H4 24В 75/70ВТ</x:v>
      </x:c>
      <x:c r="D43" s="16" t="str">
        <x:v>Осветительная продукция и изделия электроустановочные</x:v>
      </x:c>
      <x:c r="E43" s="16" t="str">
        <x:v>ШТ</x:v>
      </x:c>
      <x:c r="F43" s="21" t="n">
        <x:v>20</x:v>
      </x:c>
      <x:c r="G43" s="17" t="n">
        <x:v>111.325</x:v>
      </x:c>
      <x:c r="H43" s="17" t="n">
        <x:f>G43*F43</x:f>
        <x:v>2226.5</x:v>
      </x:c>
      <x:c r="I43" s="22" t="str">
        <x:f>HYPERLINK("https://etp-aktiv.ru/catalog/materialy/ehlektrotekhnicheskie-materialy/2000544813-Y113/","Открыть позицию")</x:f>
        <x:v>Открыть позицию</x:v>
      </x:c>
    </x:row>
    <x:row r="44" ht="28" customHeight="1">
      <x:c r="A44" s="16" t="str">
        <x:v>Новосибирская ТЭЦ-4</x:v>
      </x:c>
      <x:c r="B44" s="16" t="str">
        <x:v>2000544818-Y113</x:v>
      </x:c>
      <x:c r="C44" s="16" t="str">
        <x:v>А ЛАМПА T11 24В SV8.5</x:v>
      </x:c>
      <x:c r="D44" s="16" t="str">
        <x:v>Осветит-я продукция и изделия э/установоч спец-е и под заказ</x:v>
      </x:c>
      <x:c r="E44" s="16" t="str">
        <x:v>ШТ</x:v>
      </x:c>
      <x:c r="F44" s="21" t="n">
        <x:v>10</x:v>
      </x:c>
      <x:c r="G44" s="17" t="n">
        <x:v>5.7218</x:v>
      </x:c>
      <x:c r="H44" s="17" t="n">
        <x:f>G44*F44</x:f>
        <x:v>57.218</x:v>
      </x:c>
      <x:c r="I44" s="22" t="str">
        <x:f>HYPERLINK("https://etp-aktiv.ru/catalog/materialy/ehlektrotekhnicheskie-materialy/2000544818-Y113/","Открыть позицию")</x:f>
        <x:v>Открыть позицию</x:v>
      </x:c>
    </x:row>
    <x:row r="45" ht="28" customHeight="1">
      <x:c r="A45" s="16" t="str">
        <x:v>Новосибирская ТЭЦ-4</x:v>
      </x:c>
      <x:c r="B45" s="16" t="str">
        <x:v>2000629050-Y113</x:v>
      </x:c>
      <x:c r="C45" s="16" t="str">
        <x:v>БЛОК ЭНМВ 1-24(24)/0-220-A2E4*2</x:v>
      </x:c>
      <x:c r="D45" s="16" t="str">
        <x:v>Запасные части и принадлежности для приборов КИПиА</x:v>
      </x:c>
      <x:c r="E45" s="16" t="str">
        <x:v>ШТ</x:v>
      </x:c>
      <x:c r="F45" s="21" t="n">
        <x:v>1</x:v>
      </x:c>
      <x:c r="G45" s="17" t="n">
        <x:v>16875.8818</x:v>
      </x:c>
      <x:c r="H45" s="17" t="n">
        <x:f>G45*F45</x:f>
        <x:v>16875.8818</x:v>
      </x:c>
      <x:c r="I45" s="22" t="str">
        <x:f>HYPERLINK("https://etp-aktiv.ru/catalog/materialy/zapasnye-chasti-i-prinadlezhnosti-dlya-priborov-kipia/2000629050-Y113/","Открыть позицию")</x:f>
        <x:v>Открыть позицию</x:v>
      </x:c>
    </x:row>
    <x:row r="46" ht="28" customHeight="1">
      <x:c r="A46" s="16" t="str">
        <x:v>Новосибирская ТЭЦ-4</x:v>
      </x:c>
      <x:c r="B46" s="16" t="str">
        <x:v>2000541562-Y113</x:v>
      </x:c>
      <x:c r="C46" s="16" t="str">
        <x:v>ДАТЧИК GS.01.00.00.000</x:v>
      </x:c>
      <x:c r="D46" s="16" t="str">
        <x:v>Запасные части и принадлежности для приборов КИПиА</x:v>
      </x:c>
      <x:c r="E46" s="16" t="str">
        <x:v>ШТ</x:v>
      </x:c>
      <x:c r="F46" s="21" t="n">
        <x:v>7</x:v>
      </x:c>
      <x:c r="G46" s="17" t="n">
        <x:v>531.4686</x:v>
      </x:c>
      <x:c r="H46" s="17" t="n">
        <x:f>G46*F46</x:f>
        <x:v>3720.2802</x:v>
      </x:c>
      <x:c r="I46" s="22" t="str">
        <x:f>HYPERLINK("https://etp-aktiv.ru/catalog/materialy/zapasnye-chasti-i-prinadlezhnosti-dlya-priborov-kipia/2000541562-Y113/","Открыть позицию")</x:f>
        <x:v>Открыть позицию</x:v>
      </x:c>
    </x:row>
    <x:row r="47" ht="28" customHeight="1">
      <x:c r="A47" s="16" t="str">
        <x:v>Новосибирская ТЭЦ-4</x:v>
      </x:c>
      <x:c r="B47" s="16" t="str">
        <x:v>2000544608-Y113</x:v>
      </x:c>
      <x:c r="C47" s="16" t="str">
        <x:v>ЛАМПА PK22S H3 EAGLEYE</x:v>
      </x:c>
      <x:c r="D47" s="16" t="str">
        <x:v>Осветительная продукция и изделия электроустановочные</x:v>
      </x:c>
      <x:c r="E47" s="16" t="str">
        <x:v>ШТ</x:v>
      </x:c>
      <x:c r="F47" s="21" t="n">
        <x:v>30</x:v>
      </x:c>
      <x:c r="G47" s="17" t="n">
        <x:v>5.7218</x:v>
      </x:c>
      <x:c r="H47" s="17" t="n">
        <x:f>G47*F47</x:f>
        <x:v>171.654</x:v>
      </x:c>
      <x:c r="I47" s="22" t="str">
        <x:f>HYPERLINK("https://etp-aktiv.ru/catalog/materialy/ehlektrotekhnicheskie-materialy/2000544608-Y113/","Открыть позицию")</x:f>
        <x:v>Открыть позицию</x:v>
      </x:c>
    </x:row>
    <x:row r="48" ht="28" customHeight="1">
      <x:c r="A48" s="16" t="str">
        <x:v>Новосибирская ТЭЦ-4</x:v>
      </x:c>
      <x:c r="B48" s="16" t="str">
        <x:v>2000176981-Y113</x:v>
      </x:c>
      <x:c r="C48" s="16" t="str">
        <x:v>ЛЕНТА ЛЭСБ 0,2*20ММ</x:v>
      </x:c>
      <x:c r="D48" s="16" t="str">
        <x:v>Электроизоляционные материалы</x:v>
      </x:c>
      <x:c r="E48" s="16" t="str">
        <x:v>ПМ</x:v>
      </x:c>
      <x:c r="F48" s="21" t="n">
        <x:v>2800</x:v>
      </x:c>
      <x:c r="G48" s="17" t="n">
        <x:v>3.0987999999999998</x:v>
      </x:c>
      <x:c r="H48" s="17" t="n">
        <x:f>G48*F48</x:f>
        <x:v>8676.64</x:v>
      </x:c>
      <x:c r="I48" s="22" t="str">
        <x:f>HYPERLINK("https://etp-aktiv.ru/catalog/materialy/ehlektroizolyacionnye-materialy/2000176981-Y113/","Открыть позицию")</x:f>
        <x:v>Открыть позицию</x:v>
      </x:c>
    </x:row>
    <x:row r="49" ht="28" customHeight="1">
      <x:c r="A49" s="16" t="str">
        <x:v>Новосибирская ТЭЦ-4</x:v>
      </x:c>
      <x:c r="B49" s="16" t="str">
        <x:v>2000548550-Y113</x:v>
      </x:c>
      <x:c r="C49" s="16" t="str">
        <x:v>ЛЕНТА ЛЭСП 0,2*25ММ</x:v>
      </x:c>
      <x:c r="D49" s="16" t="str">
        <x:v>Электроизоляционные материалы</x:v>
      </x:c>
      <x:c r="E49" s="16" t="str">
        <x:v>М</x:v>
      </x:c>
      <x:c r="F49" s="21" t="n">
        <x:v>200</x:v>
      </x:c>
      <x:c r="G49" s="17" t="n">
        <x:v>4.0992</x:v>
      </x:c>
      <x:c r="H49" s="17" t="n">
        <x:f>G49*F49</x:f>
        <x:v>819.8399999999999</x:v>
      </x:c>
      <x:c r="I49" s="22" t="str">
        <x:f>HYPERLINK("https://etp-aktiv.ru/catalog/materialy/ehlektroizolyacionnye-materialy/2000548550-Y113/","Открыть позицию")</x:f>
        <x:v>Открыть позицию</x:v>
      </x:c>
    </x:row>
    <x:row r="50" ht="28" customHeight="1">
      <x:c r="A50" s="16" t="str">
        <x:v>Новосибирская ТЭЦ-4</x:v>
      </x:c>
      <x:c r="B50" s="16" t="str">
        <x:v>2000624242-Y113</x:v>
      </x:c>
      <x:c r="C50" s="16" t="str">
        <x:v>СТ/ТЕКСТОЛИТ СТЭФ 1С 50ММ</x:v>
      </x:c>
      <x:c r="D50" s="16" t="str">
        <x:v>Электроизоляционные материалы</x:v>
      </x:c>
      <x:c r="E50" s="16" t="str">
        <x:v>КГ</x:v>
      </x:c>
      <x:c r="F50" s="30" t="n">
        <x:v>199.2</x:v>
      </x:c>
      <x:c r="G50" s="17" t="n">
        <x:v>427.732</x:v>
      </x:c>
      <x:c r="H50" s="17" t="n">
        <x:f>G50*F50</x:f>
        <x:v>85204.2144</x:v>
      </x:c>
      <x:c r="I50" s="22" t="str">
        <x:f>HYPERLINK("https://etp-aktiv.ru/catalog/materialy/ehlektroizolyacionnye-materialy/2000624242-Y113/","Открыть позицию")</x:f>
        <x:v>Открыть позицию</x:v>
      </x:c>
    </x:row>
    <x:row r="51" ht="28" customHeight="1">
      <x:c r="A51" s="16" t="str">
        <x:v>Новосибирская ТЭЦ-4</x:v>
      </x:c>
      <x:c r="B51" s="16" t="str">
        <x:v>2000624230-Y113</x:v>
      </x:c>
      <x:c r="C51" s="16" t="str">
        <x:v>СТЕКЛОТКАНЬ ЛСК-155/180 0,2ММ</x:v>
      </x:c>
      <x:c r="D51" s="16" t="str">
        <x:v>Электроизоляционные материалы</x:v>
      </x:c>
      <x:c r="E51" s="16" t="str">
        <x:v>М</x:v>
      </x:c>
      <x:c r="F51" s="21" t="n">
        <x:v>21</x:v>
      </x:c>
      <x:c r="G51" s="17" t="n">
        <x:v>610.0365999999999</x:v>
      </x:c>
      <x:c r="H51" s="17" t="n">
        <x:f>G51*F51</x:f>
        <x:v>12810.768599999998</x:v>
      </x:c>
      <x:c r="I51" s="22" t="str">
        <x:f>HYPERLINK("https://etp-aktiv.ru/catalog/materialy/ehlektroizolyacionnye-materialy/2000624230-Y113/","Открыть позицию")</x:f>
        <x:v>Открыть позицию</x:v>
      </x:c>
    </x:row>
    <x:row r="52" ht="28" customHeight="1">
      <x:c r="A52" s="16" t="str">
        <x:v>Новосибирская ТЭЦ-4</x:v>
      </x:c>
      <x:c r="B52" s="16" t="str">
        <x:v>2000638111-Y113</x:v>
      </x:c>
      <x:c r="C52" s="16" t="str">
        <x:v>СТОЙКА Д/АЛКОТЕСТЕРОВ ДИНГО В-01/В-02</x:v>
      </x:c>
      <x:c r="D52" s="16" t="str">
        <x:v>Запасные части и принадлежности для приборов КИПиА</x:v>
      </x:c>
      <x:c r="E52" s="16" t="str">
        <x:v>ШТ</x:v>
      </x:c>
      <x:c r="F52" s="21" t="n">
        <x:v>1</x:v>
      </x:c>
      <x:c r="G52" s="17" t="n">
        <x:v>972.7914</x:v>
      </x:c>
      <x:c r="H52" s="17" t="n">
        <x:f>G52*F52</x:f>
        <x:v>972.7914</x:v>
      </x:c>
      <x:c r="I52" s="22" t="str">
        <x:f>HYPERLINK("https://etp-aktiv.ru/catalog/materialy/zapasnye-chasti-i-prinadlezhnosti-dlya-priborov-kipia/2000638111-Y113/","Открыть позицию")</x:f>
        <x:v>Открыть позицию</x:v>
      </x:c>
    </x:row>
    <x:row r="53" ht="28" customHeight="1">
      <x:c r="A53" s="16" t="str">
        <x:v>Новосибирская ТЭЦ-5</x:v>
      </x:c>
      <x:c r="B53" s="16" t="str">
        <x:v>2000584343-Y114</x:v>
      </x:c>
      <x:c r="C53" s="16" t="str">
        <x:v>АВТОМАТ А3793Б УЗ 400А</x:v>
      </x:c>
      <x:c r="D53" s="16" t="str">
        <x:v>Низковольтная аппаратура и запасные части</x:v>
      </x:c>
      <x:c r="E53" s="16" t="str">
        <x:v>ШТ</x:v>
      </x:c>
      <x:c r="F53" s="21" t="n">
        <x:v>3</x:v>
      </x:c>
      <x:c r="G53" s="17" t="n">
        <x:v>7858.5202</x:v>
      </x:c>
      <x:c r="H53" s="17" t="n">
        <x:f>G53*F53</x:f>
        <x:v>23575.5606</x:v>
      </x:c>
      <x:c r="I53" s="22" t="str">
        <x:f>HYPERLINK("https://etp-aktiv.ru/catalog/materialy/nizkovoltnaya-apparatura-i-zapasnye-chasti/2000584343-Y114/","Открыть позицию")</x:f>
        <x:v>Открыть позицию</x:v>
      </x:c>
    </x:row>
    <x:row r="54" ht="28" customHeight="1">
      <x:c r="A54" s="16" t="str">
        <x:v>Новосибирская ТЭЦ-5</x:v>
      </x:c>
      <x:c r="B54" s="16" t="str">
        <x:v>2000567816-Y114</x:v>
      </x:c>
      <x:c r="C54" s="16" t="str">
        <x:v>БЛОК (ПЛАТА) ИМП ТРАНСФ 11.123.01.024-1</x:v>
      </x:c>
      <x:c r="D54" s="16" t="str">
        <x:v>Низковольтная аппаратура и запасные части спец-е и под заказ</x:v>
      </x:c>
      <x:c r="E54" s="16" t="str">
        <x:v>ШТ</x:v>
      </x:c>
      <x:c r="F54" s="21" t="n">
        <x:v>1</x:v>
      </x:c>
      <x:c r="G54" s="17" t="n">
        <x:v>5221.1852</x:v>
      </x:c>
      <x:c r="H54" s="17" t="n">
        <x:f>G54*F54</x:f>
        <x:v>5221.1852</x:v>
      </x:c>
      <x:c r="I54" s="22" t="str">
        <x:f>HYPERLINK("https://etp-aktiv.ru/catalog/materialy/nizkovoltnaya-apparatura-i-zapasnye-chasti/2000567816-Y114/","Открыть позицию")</x:f>
        <x:v>Открыть позицию</x:v>
      </x:c>
    </x:row>
    <x:row r="55" ht="28" customHeight="1">
      <x:c r="A55" s="16" t="str">
        <x:v>Новосибирская ТЭЦ-5</x:v>
      </x:c>
      <x:c r="B55" s="16" t="str">
        <x:v>2000567831-Y114</x:v>
      </x:c>
      <x:c r="C55" s="16" t="str">
        <x:v>БЛОК БФИ 01.065.0626-08-НО.КА-119.01</x:v>
      </x:c>
      <x:c r="D55" s="16" t="str">
        <x:v>Низковольтная аппаратура и запасные части спец-е и под заказ</x:v>
      </x:c>
      <x:c r="E55" s="16" t="str">
        <x:v>ШТ</x:v>
      </x:c>
      <x:c r="F55" s="21" t="n">
        <x:v>1</x:v>
      </x:c>
      <x:c r="G55" s="17" t="n">
        <x:v>20729.666599999997</x:v>
      </x:c>
      <x:c r="H55" s="17" t="n">
        <x:f>G55*F55</x:f>
        <x:v>20729.666599999997</x:v>
      </x:c>
      <x:c r="I55" s="22" t="str">
        <x:f>HYPERLINK("https://etp-aktiv.ru/catalog/materialy/nizkovoltnaya-apparatura-i-zapasnye-chasti/2000567831-Y114/","Открыть позицию")</x:f>
        <x:v>Открыть позицию</x:v>
      </x:c>
    </x:row>
    <x:row r="56" ht="28" customHeight="1">
      <x:c r="A56" s="16" t="str">
        <x:v>Новосибирская ТЭЦ-5</x:v>
      </x:c>
      <x:c r="B56" s="16" t="str">
        <x:v>2000567832-Y114</x:v>
      </x:c>
      <x:c r="C56" s="16" t="str">
        <x:v>БЛОК БФУ 01.065.0626-08-НО.КА-120.01</x:v>
      </x:c>
      <x:c r="D56" s="16" t="str">
        <x:v>Низковольтная аппаратура и запасные части спец-е и под заказ</x:v>
      </x:c>
      <x:c r="E56" s="16" t="str">
        <x:v>ШТ</x:v>
      </x:c>
      <x:c r="F56" s="21" t="n">
        <x:v>1</x:v>
      </x:c>
      <x:c r="G56" s="17" t="n">
        <x:v>20729.666599999997</x:v>
      </x:c>
      <x:c r="H56" s="17" t="n">
        <x:f>G56*F56</x:f>
        <x:v>20729.666599999997</x:v>
      </x:c>
      <x:c r="I56" s="22" t="str">
        <x:f>HYPERLINK("https://etp-aktiv.ru/catalog/materialy/nizkovoltnaya-apparatura-i-zapasnye-chasti/2000567832-Y114/","Открыть позицию")</x:f>
        <x:v>Открыть позицию</x:v>
      </x:c>
    </x:row>
    <x:row r="57" ht="28" customHeight="1">
      <x:c r="A57" s="16" t="str">
        <x:v>Новосибирская ТЭЦ-5</x:v>
      </x:c>
      <x:c r="B57" s="16" t="str">
        <x:v>2000540858-Y114</x:v>
      </x:c>
      <x:c r="C57" s="16" t="str">
        <x:v>БЛОК УПРАВЛЕНИЯ БУ-12</x:v>
      </x:c>
      <x:c r="D57" s="16" t="str">
        <x:v>Запасные части и принадлежности для приборов КИПиА</x:v>
      </x:c>
      <x:c r="E57" s="16" t="str">
        <x:v>ШТ</x:v>
      </x:c>
      <x:c r="F57" s="21" t="n">
        <x:v>0</x:v>
      </x:c>
      <x:c r="G57" s="17" t="n">
        <x:v>555.4538</x:v>
      </x:c>
      <x:c r="H57" s="17" t="n">
        <x:f>G57*F57</x:f>
        <x:v>0</x:v>
      </x:c>
      <x:c r="I57" s="22" t="str">
        <x:f>HYPERLINK("https://etp-aktiv.ru/catalog/materialy/zapasnye-chasti-i-prinadlezhnosti-dlya-priborov-kipia/2000540858-Y114/","Открыть позицию")</x:f>
        <x:v>Открыть позицию</x:v>
      </x:c>
    </x:row>
    <x:row r="58" ht="28" customHeight="1">
      <x:c r="A58" s="16" t="str">
        <x:v>Новосибирская ТЭЦ-5</x:v>
      </x:c>
      <x:c r="B58" s="16" t="str">
        <x:v>2000524356-Y114</x:v>
      </x:c>
      <x:c r="C58" s="16" t="str">
        <x:v>ЗАТВОР Ж83-Р1200-05 DN200 PN2</x:v>
      </x:c>
      <x:c r="D58" s="16" t="str">
        <x:v>Запасные части к трансформаторам</x:v>
      </x:c>
      <x:c r="E58" s="16" t="str">
        <x:v>ШТ</x:v>
      </x:c>
      <x:c r="F58" s="21" t="n">
        <x:v>2</x:v>
      </x:c>
      <x:c r="G58" s="17" t="n">
        <x:v>7116.6748</x:v>
      </x:c>
      <x:c r="H58" s="17" t="n">
        <x:f>G58*F58</x:f>
        <x:v>14233.3496</x:v>
      </x:c>
      <x:c r="I58" s="22" t="str">
        <x:f>HYPERLINK("https://etp-aktiv.ru/catalog/materialy/ehlektrotekhnicheskie-materialy/2000524356-Y114/","Открыть позицию")</x:f>
        <x:v>Открыть позицию</x:v>
      </x:c>
    </x:row>
    <x:row r="59" ht="28" customHeight="1">
      <x:c r="A59" s="16" t="str">
        <x:v>Новосибирская ТЭЦ-5</x:v>
      </x:c>
      <x:c r="B59" s="16" t="str">
        <x:v>2000551817-Y114</x:v>
      </x:c>
      <x:c r="C59" s="16" t="str">
        <x:v>ИЗОЛЯТОР ИОР 7,5 10 I УХЛ2</x:v>
      </x:c>
      <x:c r="D59" s="16" t="str">
        <x:v>Изоляторы</x:v>
      </x:c>
      <x:c r="E59" s="16" t="str">
        <x:v>ШТ</x:v>
      </x:c>
      <x:c r="F59" s="21" t="n">
        <x:v>37</x:v>
      </x:c>
      <x:c r="G59" s="17" t="n">
        <x:v>35.294599999999996</x:v>
      </x:c>
      <x:c r="H59" s="17" t="n">
        <x:f>G59*F59</x:f>
        <x:v>1305.9001999999998</x:v>
      </x:c>
      <x:c r="I59" s="22" t="str">
        <x:f>HYPERLINK("https://etp-aktiv.ru/catalog/materialy/ehlektrotekhnicheskie-materialy/2000551817-Y114/","Открыть позицию")</x:f>
        <x:v>Открыть позицию</x:v>
      </x:c>
    </x:row>
    <x:row r="60" ht="28" customHeight="1">
      <x:c r="A60" s="16" t="str">
        <x:v>Новосибирская ТЭЦ-5</x:v>
      </x:c>
      <x:c r="B60" s="16" t="str">
        <x:v>2000566991-Y114</x:v>
      </x:c>
      <x:c r="C60" s="16" t="str">
        <x:v>КРОНШТЕЙН РЕГУЛИРУЮЩИЙ ДСО-12.3 ДСО-12.6</x:v>
      </x:c>
      <x:c r="D60" s="16" t="str">
        <x:v>Осветительная продукция и изделия электроустановочные</x:v>
      </x:c>
      <x:c r="E60" s="16" t="str">
        <x:v>ШТ</x:v>
      </x:c>
      <x:c r="F60" s="21" t="n">
        <x:v>4</x:v>
      </x:c>
      <x:c r="G60" s="17" t="n">
        <x:v>34.769999999999996</x:v>
      </x:c>
      <x:c r="H60" s="17" t="n">
        <x:f>G60*F60</x:f>
        <x:v>139.07999999999998</x:v>
      </x:c>
      <x:c r="I60" s="22" t="str">
        <x:f>HYPERLINK("https://etp-aktiv.ru/catalog/materialy/ehlektrotekhnicheskie-materialy/2000566991-Y114/","Открыть позицию")</x:f>
        <x:v>Открыть позицию</x:v>
      </x:c>
    </x:row>
    <x:row r="61" ht="28" customHeight="1">
      <x:c r="A61" s="16" t="str">
        <x:v>Новосибирская ТЭЦ-5</x:v>
      </x:c>
      <x:c r="B61" s="16" t="str">
        <x:v>2000005371-Y114</x:v>
      </x:c>
      <x:c r="C61" s="16" t="str">
        <x:v>ЛАМПА ДРВ 250 250ВТ Е27</x:v>
      </x:c>
      <x:c r="D61" s="16" t="str">
        <x:v>Осветительная продукция и изделия электроустановочные</x:v>
      </x:c>
      <x:c r="E61" s="16" t="str">
        <x:v>ШТ</x:v>
      </x:c>
      <x:c r="F61" s="21" t="n">
        <x:v>163</x:v>
      </x:c>
      <x:c r="G61" s="17" t="n">
        <x:v>78.12880000000001</x:v>
      </x:c>
      <x:c r="H61" s="17" t="n">
        <x:f>G61*F61</x:f>
        <x:v>12734.994400000001</x:v>
      </x:c>
      <x:c r="I61" s="22" t="str">
        <x:f>HYPERLINK("https://etp-aktiv.ru/catalog/materialy/ehlektrotekhnicheskie-materialy/2000005371-Y114/","Открыть позицию")</x:f>
        <x:v>Открыть позицию</x:v>
      </x:c>
    </x:row>
    <x:row r="62" ht="28" customHeight="1">
      <x:c r="A62" s="16" t="str">
        <x:v>Новосибирская ТЭЦ-5</x:v>
      </x:c>
      <x:c r="B62" s="16" t="str">
        <x:v>2000191304-Y114</x:v>
      </x:c>
      <x:c r="C62" s="16" t="str">
        <x:v>ЛАМПА ДРЛ 250ВТ Е40</x:v>
      </x:c>
      <x:c r="D62" s="16" t="str">
        <x:v>Осветительная продукция и изделия электроустановочные</x:v>
      </x:c>
      <x:c r="E62" s="16" t="str">
        <x:v>ШТ</x:v>
      </x:c>
      <x:c r="F62" s="21" t="n">
        <x:v>30</x:v>
      </x:c>
      <x:c r="G62" s="17" t="n">
        <x:v>124.0008</x:v>
      </x:c>
      <x:c r="H62" s="17" t="n">
        <x:f>G62*F62</x:f>
        <x:v>3720.024</x:v>
      </x:c>
      <x:c r="I62" s="22" t="str">
        <x:f>HYPERLINK("https://etp-aktiv.ru/catalog/materialy/ehlektrotekhnicheskie-materialy/2000191304-Y114/","Открыть позицию")</x:f>
        <x:v>Открыть позицию</x:v>
      </x:c>
    </x:row>
    <x:row r="63" ht="28" customHeight="1">
      <x:c r="A63" s="16" t="str">
        <x:v>Новосибирская ТЭЦ-5</x:v>
      </x:c>
      <x:c r="B63" s="16" t="str">
        <x:v>2000140581-Y114</x:v>
      </x:c>
      <x:c r="C63" s="16" t="str">
        <x:v>ЛАМПА ДРЛ 700ВТ Е40</x:v>
      </x:c>
      <x:c r="D63" s="16" t="str">
        <x:v>Осветительная продукция и изделия электроустановочные</x:v>
      </x:c>
      <x:c r="E63" s="16" t="str">
        <x:v>ШТ</x:v>
      </x:c>
      <x:c r="F63" s="21" t="n">
        <x:v>114</x:v>
      </x:c>
      <x:c r="G63" s="17" t="n">
        <x:v>100.64999999999999</x:v>
      </x:c>
      <x:c r="H63" s="17" t="n">
        <x:f>G63*F63</x:f>
        <x:v>11474.099999999999</x:v>
      </x:c>
      <x:c r="I63" s="22" t="str">
        <x:f>HYPERLINK("https://etp-aktiv.ru/catalog/materialy/ehlektrotekhnicheskie-materialy/2000140581-Y114/","Открыть позицию")</x:f>
        <x:v>Открыть позицию</x:v>
      </x:c>
    </x:row>
    <x:row r="64" ht="28" customHeight="1">
      <x:c r="A64" s="16" t="str">
        <x:v>Новосибирская ТЭЦ-5</x:v>
      </x:c>
      <x:c r="B64" s="16" t="str">
        <x:v>2000545237-Y114</x:v>
      </x:c>
      <x:c r="C64" s="16" t="str">
        <x:v>ЛАМПА ДРЛ-250 250ВТ E27</x:v>
      </x:c>
      <x:c r="D64" s="16" t="str">
        <x:v>Осветительная продукция и изделия электроустановочные</x:v>
      </x:c>
      <x:c r="E64" s="16" t="str">
        <x:v>ШТ</x:v>
      </x:c>
      <x:c r="F64" s="21" t="n">
        <x:v>489</x:v>
      </x:c>
      <x:c r="G64" s="17" t="n">
        <x:v>80.8006</x:v>
      </x:c>
      <x:c r="H64" s="17" t="n">
        <x:f>G64*F64</x:f>
        <x:v>39511.4934</x:v>
      </x:c>
      <x:c r="I64" s="22" t="str">
        <x:f>HYPERLINK("https://etp-aktiv.ru/catalog/materialy/ehlektrotekhnicheskie-materialy/2000545237-Y114/","Открыть позицию")</x:f>
        <x:v>Открыть позицию</x:v>
      </x:c>
    </x:row>
    <x:row r="65" ht="28" customHeight="1">
      <x:c r="A65" s="16" t="str">
        <x:v>Новосибирская ТЭЦ-5</x:v>
      </x:c>
      <x:c r="B65" s="16" t="str">
        <x:v>2000545206-Y114</x:v>
      </x:c>
      <x:c r="C65" s="16" t="str">
        <x:v>ЛАМПА ЛЮМИНЕСЦЕНТ ЛБ-40 31982 40ВТ G13</x:v>
      </x:c>
      <x:c r="D65" s="16" t="str">
        <x:v>Осветительная продукция и изделия электроустановочные</x:v>
      </x:c>
      <x:c r="E65" s="16" t="str">
        <x:v>ШТ</x:v>
      </x:c>
      <x:c r="F65" s="21" t="n">
        <x:v>635</x:v>
      </x:c>
      <x:c r="G65" s="17" t="n">
        <x:v>4.904399999999999</x:v>
      </x:c>
      <x:c r="H65" s="17" t="n">
        <x:f>G65*F65</x:f>
        <x:v>3114.2939999999994</x:v>
      </x:c>
      <x:c r="I65" s="22" t="str">
        <x:f>HYPERLINK("https://etp-aktiv.ru/catalog/materialy/ehlektrotekhnicheskie-materialy/2000545206-Y114/","Открыть позицию")</x:f>
        <x:v>Открыть позицию</x:v>
      </x:c>
    </x:row>
    <x:row r="66" ht="28" customHeight="1">
      <x:c r="A66" s="16" t="str">
        <x:v>Новосибирская ТЭЦ-5</x:v>
      </x:c>
      <x:c r="B66" s="16" t="str">
        <x:v>2000545182-Y114</x:v>
      </x:c>
      <x:c r="C66" s="16" t="str">
        <x:v>ЛАМПА МО 40ВТ E27</x:v>
      </x:c>
      <x:c r="D66" s="16" t="str">
        <x:v>Осветительная продукция и изделия электроустановочные</x:v>
      </x:c>
      <x:c r="E66" s="16" t="str">
        <x:v>ШТ</x:v>
      </x:c>
      <x:c r="F66" s="21" t="n">
        <x:v>222</x:v>
      </x:c>
      <x:c r="G66" s="17" t="n">
        <x:v>1.7202</x:v>
      </x:c>
      <x:c r="H66" s="17" t="n">
        <x:f>G66*F66</x:f>
        <x:v>381.88439999999997</x:v>
      </x:c>
      <x:c r="I66" s="22" t="str">
        <x:f>HYPERLINK("https://etp-aktiv.ru/catalog/materialy/ehlektrotekhnicheskie-materialy/2000545182-Y114/","Открыть позицию")</x:f>
        <x:v>Открыть позицию</x:v>
      </x:c>
    </x:row>
    <x:row r="67" ht="28" customHeight="1">
      <x:c r="A67" s="16" t="str">
        <x:v>Новосибирская ТЭЦ-5</x:v>
      </x:c>
      <x:c r="B67" s="16" t="str">
        <x:v>2000619613-Y114</x:v>
      </x:c>
      <x:c r="C67" s="16" t="str">
        <x:v>ЛЕНТА ИЗОЛЯЦ ПВХ 15*0,2 ЧР ГОСТ16214-86</x:v>
      </x:c>
      <x:c r="D67" s="16" t="str">
        <x:v>Электроизоляционные материалы</x:v>
      </x:c>
      <x:c r="E67" s="16" t="str">
        <x:v>КГ</x:v>
      </x:c>
      <x:c r="F67" s="30" t="n">
        <x:v>32.2</x:v>
      </x:c>
      <x:c r="G67" s="17" t="n">
        <x:v>874.9962</x:v>
      </x:c>
      <x:c r="H67" s="17" t="n">
        <x:f>G67*F67</x:f>
        <x:v>28174.877640000002</x:v>
      </x:c>
      <x:c r="I67" s="22" t="str">
        <x:f>HYPERLINK("https://etp-aktiv.ru/catalog/materialy/ehlektroizolyacionnye-materialy/2000619613-Y114/","Открыть позицию")</x:f>
        <x:v>Открыть позицию</x:v>
      </x:c>
    </x:row>
    <x:row r="68" ht="28" customHeight="1">
      <x:c r="A68" s="16" t="str">
        <x:v>Новосибирская ТЭЦ-5</x:v>
      </x:c>
      <x:c r="B68" s="16" t="str">
        <x:v>2000556112-Y114</x:v>
      </x:c>
      <x:c r="C68" s="16" t="str">
        <x:v>ЛЕНТА КИПЕРНАЯ ЛЭ-25-36 25ММ</x:v>
      </x:c>
      <x:c r="D68" s="16" t="str">
        <x:v>Электроизоляционные материалы</x:v>
      </x:c>
      <x:c r="E68" s="16" t="str">
        <x:v>М</x:v>
      </x:c>
      <x:c r="F68" s="21" t="n">
        <x:v>3</x:v>
      </x:c>
      <x:c r="G68" s="17" t="n">
        <x:v>1.0735999999999999</x:v>
      </x:c>
      <x:c r="H68" s="17" t="n">
        <x:f>G68*F68</x:f>
        <x:v>3.2207999999999997</x:v>
      </x:c>
      <x:c r="I68" s="22" t="str">
        <x:f>HYPERLINK("https://etp-aktiv.ru/catalog/materialy/ehlektroizolyacionnye-materialy/2000556112-Y114/","Открыть позицию")</x:f>
        <x:v>Открыть позицию</x:v>
      </x:c>
    </x:row>
    <x:row r="69" ht="28" customHeight="1">
      <x:c r="A69" s="16" t="str">
        <x:v>Новосибирская ТЭЦ-5</x:v>
      </x:c>
      <x:c r="B69" s="16" t="str">
        <x:v>2000591050-Y114</x:v>
      </x:c>
      <x:c r="C69" s="16" t="str">
        <x:v>ЛЕНТА МАСТИЧНАЯ 2900R 3М SCOTCH 38ММ1,5М</x:v>
      </x:c>
      <x:c r="D69" s="16" t="str">
        <x:v>Электроизоляционные материалы</x:v>
      </x:c>
      <x:c r="E69" s="16" t="str">
        <x:v>ШТ</x:v>
      </x:c>
      <x:c r="F69" s="21" t="n">
        <x:v>2</x:v>
      </x:c>
      <x:c r="G69" s="17" t="n">
        <x:v>1555.5</x:v>
      </x:c>
      <x:c r="H69" s="17" t="n">
        <x:f>G69*F69</x:f>
        <x:v>3111</x:v>
      </x:c>
      <x:c r="I69" s="22" t="str">
        <x:f>HYPERLINK("https://etp-aktiv.ru/catalog/materialy/ehlektroizolyacionnye-materialy/2000591050-Y114/","Открыть позицию")</x:f>
        <x:v>Открыть позицию</x:v>
      </x:c>
    </x:row>
    <x:row r="70" ht="28" customHeight="1">
      <x:c r="A70" s="16" t="str">
        <x:v>Новосибирская ТЭЦ-5</x:v>
      </x:c>
      <x:c r="B70" s="16" t="str">
        <x:v>2000605265-Y114</x:v>
      </x:c>
      <x:c r="C70" s="16" t="str">
        <x:v>МАНОМЕТР МТП-1М 0-1,6КГС/СМ2</x:v>
      </x:c>
      <x:c r="D70" s="16" t="str">
        <x:v>Запасные части и принадлежности для приборов КИПиА</x:v>
      </x:c>
      <x:c r="E70" s="16" t="str">
        <x:v>ШТ</x:v>
      </x:c>
      <x:c r="F70" s="21" t="n">
        <x:v>6</x:v>
      </x:c>
      <x:c r="G70" s="17" t="n">
        <x:v>936.7159999999999</x:v>
      </x:c>
      <x:c r="H70" s="17" t="n">
        <x:f>G70*F70</x:f>
        <x:v>5620.295999999999</x:v>
      </x:c>
      <x:c r="I70" s="22" t="str">
        <x:f>HYPERLINK("https://etp-aktiv.ru/catalog/materialy/zapasnye-chasti-i-prinadlezhnosti-dlya-priborov-kipia/2000605265-Y114/","Открыть позицию")</x:f>
        <x:v>Открыть позицию</x:v>
      </x:c>
    </x:row>
    <x:row r="71" ht="28" customHeight="1">
      <x:c r="A71" s="16" t="str">
        <x:v>Новосибирская ТЭЦ-5</x:v>
      </x:c>
      <x:c r="B71" s="16" t="str">
        <x:v>2000078495-Y114</x:v>
      </x:c>
      <x:c r="C71" s="16" t="str">
        <x:v>МЕТРУКАВ НЕГЕРМ УПЛ 32ММ РЗ-Ц-Х-32</x:v>
      </x:c>
      <x:c r="D71" s="16" t="str">
        <x:v>Низковольтная аппаратура и запасные части</x:v>
      </x:c>
      <x:c r="E71" s="16" t="str">
        <x:v>ПМ</x:v>
      </x:c>
      <x:c r="F71" s="30" t="n">
        <x:v>82.5</x:v>
      </x:c>
      <x:c r="G71" s="17" t="n">
        <x:v>6.6856</x:v>
      </x:c>
      <x:c r="H71" s="17" t="n">
        <x:f>G71*F71</x:f>
        <x:v>551.562</x:v>
      </x:c>
      <x:c r="I71" s="22" t="str">
        <x:f>HYPERLINK("https://etp-aktiv.ru/catalog/materialy/nizkovoltnaya-apparatura-i-zapasnye-chasti/2000078495-Y114/","Открыть позицию")</x:f>
        <x:v>Открыть позицию</x:v>
      </x:c>
    </x:row>
    <x:row r="72" ht="28" customHeight="1">
      <x:c r="A72" s="16" t="str">
        <x:v>Новосибирская ТЭЦ-5</x:v>
      </x:c>
      <x:c r="B72" s="16" t="str">
        <x:v>2000484608-Y114</x:v>
      </x:c>
      <x:c r="C72" s="16" t="str">
        <x:v>ОПОВЕЩАТЕЛЬ ОХР-ПОЖ ЛЮКС-12К ВЫХОД</x:v>
      </x:c>
      <x:c r="D72" s="16" t="str">
        <x:v>Прочие электротехнические материалы</x:v>
      </x:c>
      <x:c r="E72" s="16" t="str">
        <x:v>ШТ</x:v>
      </x:c>
      <x:c r="F72" s="21" t="n">
        <x:v>25</x:v>
      </x:c>
      <x:c r="G72" s="17" t="n">
        <x:v>20.6302</x:v>
      </x:c>
      <x:c r="H72" s="17" t="n">
        <x:f>G72*F72</x:f>
        <x:v>515.755</x:v>
      </x:c>
      <x:c r="I72" s="22" t="str">
        <x:f>HYPERLINK("https://etp-aktiv.ru/catalog/materialy/ehlektrotekhnicheskie-materialy/2000484608-Y114/","Открыть позицию")</x:f>
        <x:v>Открыть позицию</x:v>
      </x:c>
    </x:row>
    <x:row r="73" ht="28" customHeight="1">
      <x:c r="A73" s="16" t="str">
        <x:v>Новосибирская ТЭЦ-5</x:v>
      </x:c>
      <x:c r="B73" s="16" t="str">
        <x:v>2000536682-Y114</x:v>
      </x:c>
      <x:c r="C73" s="16" t="str">
        <x:v>ПЕРЕКЛЮЧАТЕЛЬ V15T22-CSZ100-K 22(8)A 250</x:v>
      </x:c>
      <x:c r="D73" s="16" t="str">
        <x:v>Низковольтная аппаратура и запасные части</x:v>
      </x:c>
      <x:c r="E73" s="16" t="str">
        <x:v>ШТ</x:v>
      </x:c>
      <x:c r="F73" s="21" t="n">
        <x:v>1</x:v>
      </x:c>
      <x:c r="G73" s="17" t="n">
        <x:v>246.9158</x:v>
      </x:c>
      <x:c r="H73" s="17" t="n">
        <x:f>G73*F73</x:f>
        <x:v>246.9158</x:v>
      </x:c>
      <x:c r="I73" s="22" t="str">
        <x:f>HYPERLINK("https://etp-aktiv.ru/catalog/materialy/nizkovoltnaya-apparatura-i-zapasnye-chasti/2000536682-Y114/","Открыть позицию")</x:f>
        <x:v>Открыть позицию</x:v>
      </x:c>
    </x:row>
    <x:row r="74" ht="28" customHeight="1">
      <x:c r="A74" s="16" t="str">
        <x:v>Новосибирская ТЭЦ-5</x:v>
      </x:c>
      <x:c r="B74" s="16" t="str">
        <x:v>2000536723-Y114</x:v>
      </x:c>
      <x:c r="C74" s="16" t="str">
        <x:v>ПЕРЕКЛЮЧАТЕЛЬ ПМОФ-45-112222/IД1</x:v>
      </x:c>
      <x:c r="D74" s="16" t="str">
        <x:v>Низковольтная аппаратура и запасные части</x:v>
      </x:c>
      <x:c r="E74" s="16" t="str">
        <x:v>ШТ</x:v>
      </x:c>
      <x:c r="F74" s="21" t="n">
        <x:v>4</x:v>
      </x:c>
      <x:c r="G74" s="17" t="n">
        <x:v>2546.9086</x:v>
      </x:c>
      <x:c r="H74" s="17" t="n">
        <x:f>G74*F74</x:f>
        <x:v>10187.6344</x:v>
      </x:c>
      <x:c r="I74" s="22" t="str">
        <x:f>HYPERLINK("https://etp-aktiv.ru/catalog/materialy/nizkovoltnaya-apparatura-i-zapasnye-chasti/2000536723-Y114/","Открыть позицию")</x:f>
        <x:v>Открыть позицию</x:v>
      </x:c>
    </x:row>
    <x:row r="75" ht="28" customHeight="1">
      <x:c r="A75" s="16" t="str">
        <x:v>Новосибирская ТЭЦ-5</x:v>
      </x:c>
      <x:c r="B75" s="16" t="str">
        <x:v>2000000585-Y114</x:v>
      </x:c>
      <x:c r="C75" s="16" t="str">
        <x:v>ПРЕДОХРАНИТЕЛЬ ВП-1-1 5А</x:v>
      </x:c>
      <x:c r="D75" s="16" t="str">
        <x:v>Низковольтная аппаратура и запасные части</x:v>
      </x:c>
      <x:c r="E75" s="16" t="str">
        <x:v>ШТ</x:v>
      </x:c>
      <x:c r="F75" s="21" t="n">
        <x:v>15</x:v>
      </x:c>
      <x:c r="G75" s="17" t="n">
        <x:v>53.5824</x:v>
      </x:c>
      <x:c r="H75" s="17" t="n">
        <x:f>G75*F75</x:f>
        <x:v>803.736</x:v>
      </x:c>
      <x:c r="I75" s="22" t="str">
        <x:f>HYPERLINK("https://etp-aktiv.ru/catalog/materialy/nizkovoltnaya-apparatura-i-zapasnye-chasti/2000000585-Y114/","Открыть позицию")</x:f>
        <x:v>Открыть позицию</x:v>
      </x:c>
    </x:row>
    <x:row r="76" ht="28" customHeight="1">
      <x:c r="A76" s="16" t="str">
        <x:v>Новосибирская ТЭЦ-5</x:v>
      </x:c>
      <x:c r="B76" s="16" t="str">
        <x:v>2000742499-Y114</x:v>
      </x:c>
      <x:c r="C76" s="16" t="str">
        <x:v>РЕЛЕ РВ-142 УХЛ4 З/П 220В</x:v>
      </x:c>
      <x:c r="D76" s="16" t="str">
        <x:v>Низковольтная аппаратура и запасные части</x:v>
      </x:c>
      <x:c r="E76" s="16" t="str">
        <x:v>ШТ</x:v>
      </x:c>
      <x:c r="F76" s="21" t="n">
        <x:v>5</x:v>
      </x:c>
      <x:c r="G76" s="17" t="n">
        <x:v>8837.375</x:v>
      </x:c>
      <x:c r="H76" s="17" t="n">
        <x:f>G76*F76</x:f>
        <x:v>44186.875</x:v>
      </x:c>
      <x:c r="I76" s="22" t="str">
        <x:f>HYPERLINK("https://etp-aktiv.ru/catalog/materialy/nizkovoltnaya-apparatura-i-zapasnye-chasti/2000742499-Y114/","Открыть позицию")</x:f>
        <x:v>Открыть позицию</x:v>
      </x:c>
    </x:row>
    <x:row r="77" ht="28" customHeight="1">
      <x:c r="A77" s="16" t="str">
        <x:v>Новосибирская ТЭЦ-5</x:v>
      </x:c>
      <x:c r="B77" s="16" t="str">
        <x:v>2000545559-Y114</x:v>
      </x:c>
      <x:c r="C77" s="16" t="str">
        <x:v>СВЕТИЛЬНИК НСП 03-60-001 E27 60ВТ IP53</x:v>
      </x:c>
      <x:c r="D77" s="16" t="str">
        <x:v>Осветительная продукция и изделия электроустановочные</x:v>
      </x:c>
      <x:c r="E77" s="16" t="str">
        <x:v>ШТ</x:v>
      </x:c>
      <x:c r="F77" s="21" t="n">
        <x:v>10</x:v>
      </x:c>
      <x:c r="G77" s="17" t="n">
        <x:v>9.15</x:v>
      </x:c>
      <x:c r="H77" s="17" t="n">
        <x:f>G77*F77</x:f>
        <x:v>91.5</x:v>
      </x:c>
      <x:c r="I77" s="22" t="str">
        <x:f>HYPERLINK("https://etp-aktiv.ru/catalog/materialy/ehlektrotekhnicheskie-materialy/2000545559-Y114/","Открыть позицию")</x:f>
        <x:v>Открыть позицию</x:v>
      </x:c>
    </x:row>
    <x:row r="78" ht="28" customHeight="1">
      <x:c r="A78" s="16" t="str">
        <x:v>Новосибирская ТЭЦ-5</x:v>
      </x:c>
      <x:c r="B78" s="16" t="str">
        <x:v>2000008603-Y114</x:v>
      </x:c>
      <x:c r="C78" s="16" t="str">
        <x:v>СВЕТИЛЬНИК ПВЛМ 2*40</x:v>
      </x:c>
      <x:c r="D78" s="16" t="str">
        <x:v>Осветительная продукция и изделия электроустановочные</x:v>
      </x:c>
      <x:c r="E78" s="16" t="str">
        <x:v>ШТ</x:v>
      </x:c>
      <x:c r="F78" s="21" t="n">
        <x:v>2</x:v>
      </x:c>
      <x:c r="G78" s="17" t="n">
        <x:v>2704.2154</x:v>
      </x:c>
      <x:c r="H78" s="17" t="n">
        <x:f>G78*F78</x:f>
        <x:v>5408.4308</x:v>
      </x:c>
      <x:c r="I78" s="22" t="str">
        <x:f>HYPERLINK("https://etp-aktiv.ru/catalog/materialy/ehlektrotekhnicheskie-materialy/2000008603-Y114/","Открыть позицию")</x:f>
        <x:v>Открыть позицию</x:v>
      </x:c>
    </x:row>
    <x:row r="79" ht="28" customHeight="1">
      <x:c r="A79" s="16" t="str">
        <x:v>Новосибирская ТЭЦ-5</x:v>
      </x:c>
      <x:c r="B79" s="16" t="str">
        <x:v>2000571317-Y114</x:v>
      </x:c>
      <x:c r="C79" s="16" t="str">
        <x:v>ТЕРМОСТАТ В-1002А 80С 6А</x:v>
      </x:c>
      <x:c r="D79" s="16" t="str">
        <x:v>Изделия радиоэлектронной техники</x:v>
      </x:c>
      <x:c r="E79" s="16" t="str">
        <x:v>ШТ</x:v>
      </x:c>
      <x:c r="F79" s="21" t="n">
        <x:v>2</x:v>
      </x:c>
      <x:c r="G79" s="17" t="n">
        <x:v>33.3548</x:v>
      </x:c>
      <x:c r="H79" s="17" t="n">
        <x:f>G79*F79</x:f>
        <x:v>66.7096</x:v>
      </x:c>
      <x:c r="I79" s="22" t="str">
        <x:f>HYPERLINK("https://etp-aktiv.ru/catalog/materialy/prochie-materialy/2000571317-Y114/","Открыть позицию")</x:f>
        <x:v>Открыть позицию</x:v>
      </x:c>
    </x:row>
    <x:row r="80" ht="28" customHeight="1">
      <x:c r="A80" s="16" t="str">
        <x:v>Новосибирская ТЭЦ-5</x:v>
      </x:c>
      <x:c r="B80" s="16" t="str">
        <x:v>2000224065-Y114</x:v>
      </x:c>
      <x:c r="C80" s="16" t="str">
        <x:v>ЩИТ ЩМП 1-0 74 IP66 400*300*200</x:v>
      </x:c>
      <x:c r="D80" s="16" t="str">
        <x:v>Низковольтная аппаратура и запасные части</x:v>
      </x:c>
      <x:c r="E80" s="16" t="str">
        <x:v>ШТ</x:v>
      </x:c>
      <x:c r="F80" s="21" t="n">
        <x:v>38</x:v>
      </x:c>
      <x:c r="G80" s="17" t="n">
        <x:v>3936.025</x:v>
      </x:c>
      <x:c r="H80" s="17" t="n">
        <x:f>G80*F80</x:f>
        <x:v>149568.95</x:v>
      </x:c>
      <x:c r="I80" s="22" t="str">
        <x:f>HYPERLINK("https://etp-aktiv.ru/catalog/materialy/nizkovoltnaya-apparatura-i-zapasnye-chasti/2000224065-Y114/","Открыть позицию")</x:f>
        <x:v>Открыть позицию</x:v>
      </x:c>
    </x:row>
    <x:row r="81" ht="28" customHeight="1">
      <x:c r="A81" s="16" t="str">
        <x:v>Новосибирская ТЭЦ-5</x:v>
      </x:c>
      <x:c r="B81" s="16" t="str">
        <x:v>2000695200-Y114</x:v>
      </x:c>
      <x:c r="C81" s="16" t="str">
        <x:v>Э/ДВИГ АИРМ112МА8У2 2,2/220-380/709</x:v>
      </x:c>
      <x:c r="D81" s="16" t="str">
        <x:v>Электродвигатели стандартные</x:v>
      </x:c>
      <x:c r="E81" s="16" t="str">
        <x:v>ШТ</x:v>
      </x:c>
      <x:c r="F81" s="21" t="n">
        <x:v>0</x:v>
      </x:c>
      <x:c r="G81" s="17" t="n">
        <x:v>1317.6</x:v>
      </x:c>
      <x:c r="H81" s="17" t="n">
        <x:f>G81*F81</x:f>
        <x:v>0</x:v>
      </x:c>
      <x:c r="I81" s="22" t="str">
        <x:f>HYPERLINK("https://etp-aktiv.ru/catalog/materialy/ehlektrodvigateli/2000695200-Y114/","Открыть позицию")</x:f>
        <x:v>Открыть позицию</x:v>
      </x:c>
    </x:row>
    <x:row r="82" ht="28" customHeight="1">
      <x:c r="A82" s="16" t="str">
        <x:v>Новосибирская теплосетевая компания</x:v>
      </x:c>
      <x:c r="B82" s="16" t="str">
        <x:v>2000147408-Y321</x:v>
      </x:c>
      <x:c r="C82" s="16" t="str">
        <x:v>КАРТОН ТЕХНИЧЕС А-1 0,5ММ ТУ13-04-607-81</x:v>
      </x:c>
      <x:c r="D82" s="16" t="str">
        <x:v>Электроизоляционные материалы</x:v>
      </x:c>
      <x:c r="E82" s="16" t="str">
        <x:v>КГ</x:v>
      </x:c>
      <x:c r="F82" s="30" t="n">
        <x:v>10.8</x:v>
      </x:c>
      <x:c r="G82" s="17" t="n">
        <x:v>26.9986</x:v>
      </x:c>
      <x:c r="H82" s="17" t="n">
        <x:f>G82*F82</x:f>
        <x:v>291.58488</x:v>
      </x:c>
      <x:c r="I82" s="22" t="str">
        <x:f>HYPERLINK("https://etp-aktiv.ru/catalog/materialy/ehlektroizolyacionnye-materialy/2000147408-Y321/","Открыть позицию")</x:f>
        <x:v>Открыть позицию</x:v>
      </x:c>
    </x:row>
    <x:row r="83" ht="28" customHeight="1">
      <x:c r="A83" s="16" t="str">
        <x:v>Филиал «Тепловые сети»</x:v>
      </x:c>
      <x:c r="B83" s="16" t="str">
        <x:v>2000582005-Y121</x:v>
      </x:c>
      <x:c r="C83" s="16" t="str">
        <x:v>КМП КТС-Б-PT100B-Х4-ПЗ-100/8ПШ50М20*1,5Е</x:v>
      </x:c>
      <x:c r="D83" s="16" t="str">
        <x:v>Запасные части и принадлежности для приборов КИПиА</x:v>
      </x:c>
      <x:c r="E83" s="16" t="str">
        <x:v>КМП</x:v>
      </x:c>
      <x:c r="F83" s="21" t="n">
        <x:v>0</x:v>
      </x:c>
      <x:c r="G83" s="17" t="n">
        <x:v>248.88</x:v>
      </x:c>
      <x:c r="H83" s="17" t="n">
        <x:f>G83*F83</x:f>
        <x:v>0</x:v>
      </x:c>
      <x:c r="I83" s="22" t="str">
        <x:f>HYPERLINK("https://etp-aktiv.ru/catalog/materialy/zapasnye-chasti-i-prinadlezhnosti-dlya-priborov-kipia/2000582005-Y121/","Открыть позицию")</x:f>
        <x:v>Открыть позицию</x:v>
      </x:c>
    </x:row>
    <x:row r="84" ht="28" customHeight="1">
      <x:c r="A84" s="16" t="str">
        <x:v>Филиал «Тепловые сети»</x:v>
      </x:c>
      <x:c r="B84" s="16" t="str">
        <x:v>2000540601-Y121</x:v>
      </x:c>
      <x:c r="C84" s="16" t="str">
        <x:v>МАНОМЕТР МП4-У 2,5КГС/СМ2 У2 АЦЕТИЛЕН</x:v>
      </x:c>
      <x:c r="D84" s="16" t="str">
        <x:v>Запасные части и принадлежности для приборов КИПиА</x:v>
      </x:c>
      <x:c r="E84" s="16" t="str">
        <x:v>ШТ</x:v>
      </x:c>
      <x:c r="F84" s="21" t="n">
        <x:v>29</x:v>
      </x:c>
      <x:c r="G84" s="17" t="n">
        <x:v>178.08339999999998</x:v>
      </x:c>
      <x:c r="H84" s="17" t="n">
        <x:f>G84*F84</x:f>
        <x:v>5164.418599999999</x:v>
      </x:c>
      <x:c r="I84" s="22" t="str">
        <x:f>HYPERLINK("https://etp-aktiv.ru/catalog/materialy/zapasnye-chasti-i-prinadlezhnosti-dlya-priborov-kipia/2000540601-Y121/","Открыть позицию")</x:f>
        <x:v>Открыть позицию</x:v>
      </x:c>
    </x:row>
    <x:row r="85" ht="28" customHeight="1">
      <x:c r="A85" s="16" t="str">
        <x:v>Филиал «Тепловые сети»</x:v>
      </x:c>
      <x:c r="B85" s="16" t="str">
        <x:v>2000536720-Y121</x:v>
      </x:c>
      <x:c r="C85" s="16" t="str">
        <x:v>ПЕРЕКЛЮЧАТЕЛЬ ПМОВФ-1366391102/II-Д126</x:v>
      </x:c>
      <x:c r="D85" s="16" t="str">
        <x:v>Низковольтная аппаратура и запасные части</x:v>
      </x:c>
      <x:c r="E85" s="16" t="str">
        <x:v>ШТ</x:v>
      </x:c>
      <x:c r="F85" s="21" t="n">
        <x:v>1</x:v>
      </x:c>
      <x:c r="G85" s="17" t="n">
        <x:v>378.017</x:v>
      </x:c>
      <x:c r="H85" s="17" t="n">
        <x:f>G85*F85</x:f>
        <x:v>378.017</x:v>
      </x:c>
      <x:c r="I85" s="22" t="str">
        <x:f>HYPERLINK("https://etp-aktiv.ru/catalog/materialy/nizkovoltnaya-apparatura-i-zapasnye-chasti/2000536720-Y121/","Открыть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4b33316763e141f9"/>
  </x:tableParts>
</x:worksheet>
</file>

<file path=xl/worksheets/sheet1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МРО, механическое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2000439560-Y115</x:v>
      </x:c>
      <x:c r="C5" s="16" t="str">
        <x:v>ТАЛРЕП КРЮК-КОЛЬЦО М8 DIN1480</x:v>
      </x:c>
      <x:c r="D5" s="16" t="str">
        <x:v>Запасные части к грузоподъемной технике, оборудованию и меха</x:v>
      </x:c>
      <x:c r="E5" s="16" t="str">
        <x:v>ШТ</x:v>
      </x:c>
      <x:c r="F5" s="21" t="n">
        <x:v>3</x:v>
      </x:c>
      <x:c r="G5" s="17" t="n">
        <x:v>117.364</x:v>
      </x:c>
      <x:c r="H5" s="17" t="n">
        <x:f>G5*F5</x:f>
        <x:v>352.092</x:v>
      </x:c>
      <x:c r="I5" s="22" t="str">
        <x:f>HYPERLINK("https://etp-aktiv.ru/catalog/materialy/zapasnye-chasti-k-gruzopodemnoj-tekhnike-oborudovaniyu-i-mekhanizmam/2000439560-Y115/","Открыть позицию")</x:f>
        <x:v>Открыть позицию</x:v>
      </x:c>
    </x:row>
    <x:row r="6" ht="28" customHeight="1">
      <x:c r="A6" s="16" t="str">
        <x:v>Новосибирская ТЭЦ-2</x:v>
      </x:c>
      <x:c r="B6" s="16" t="str">
        <x:v>2000681980-Y111</x:v>
      </x:c>
      <x:c r="C6" s="16" t="str">
        <x:v>КАРБИД БОРА FERA F120</x:v>
      </x:c>
      <x:c r="D6" s="16" t="str">
        <x:v>Инструмент и спецоснастка</x:v>
      </x:c>
      <x:c r="E6" s="16" t="str">
        <x:v>КГ</x:v>
      </x:c>
      <x:c r="F6" s="30" t="n">
        <x:v>1.2</x:v>
      </x:c>
      <x:c r="G6" s="17" t="n">
        <x:v>4208.0728</x:v>
      </x:c>
      <x:c r="H6" s="17" t="n">
        <x:f>G6*F6</x:f>
        <x:v>5049.68736</x:v>
      </x:c>
      <x:c r="I6" s="22" t="str">
        <x:f>HYPERLINK("https://etp-aktiv.ru/catalog/materialy/instrument-i-specosnastka/2000681980-Y111/","Открыть позицию")</x:f>
        <x:v>Открыть позицию</x:v>
      </x:c>
    </x:row>
    <x:row r="7" ht="28" customHeight="1">
      <x:c r="A7" s="16" t="str">
        <x:v>Новосибирская ТЭЦ-2</x:v>
      </x:c>
      <x:c r="B7" s="16" t="str">
        <x:v>2000026060-Y111</x:v>
      </x:c>
      <x:c r="C7" s="16" t="str">
        <x:v>КЛЮЧ РОЖ ДВУСТ 12*13ММ</x:v>
      </x:c>
      <x:c r="D7" s="16" t="str">
        <x:v>Инструмент и спецоснастка</x:v>
      </x:c>
      <x:c r="E7" s="16" t="str">
        <x:v>ШТ</x:v>
      </x:c>
      <x:c r="F7" s="21" t="n">
        <x:v>4</x:v>
      </x:c>
      <x:c r="G7" s="17" t="n">
        <x:v>36.697599999999994</x:v>
      </x:c>
      <x:c r="H7" s="17" t="n">
        <x:f>G7*F7</x:f>
        <x:v>146.79039999999998</x:v>
      </x:c>
      <x:c r="I7" s="22" t="str">
        <x:f>HYPERLINK("https://etp-aktiv.ru/catalog/materialy/instrument-i-specosnastka/2000026060-Y111/","Открыть позицию")</x:f>
        <x:v>Открыть позицию</x:v>
      </x:c>
    </x:row>
    <x:row r="8" ht="28" customHeight="1">
      <x:c r="A8" s="16" t="str">
        <x:v>Новосибирская ТЭЦ-2</x:v>
      </x:c>
      <x:c r="B8" s="16" t="str">
        <x:v>2000652659-Y111</x:v>
      </x:c>
      <x:c r="C8" s="16" t="str">
        <x:v>КРУГ 250*25*32 1(ПП) 25А F46 K 6V</x:v>
      </x:c>
      <x:c r="D8" s="16" t="str">
        <x:v>Инструмент и спецоснастка</x:v>
      </x:c>
      <x:c r="E8" s="16" t="str">
        <x:v>ШТ</x:v>
      </x:c>
      <x:c r="F8" s="21" t="n">
        <x:v>2</x:v>
      </x:c>
      <x:c r="G8" s="17" t="n">
        <x:v>73.8344</x:v>
      </x:c>
      <x:c r="H8" s="17" t="n">
        <x:f>G8*F8</x:f>
        <x:v>147.6688</x:v>
      </x:c>
      <x:c r="I8" s="22" t="str">
        <x:f>HYPERLINK("https://etp-aktiv.ru/catalog/materialy/instrument-i-specosnastka/2000652659-Y111/","Открыть позицию")</x:f>
        <x:v>Открыть позицию</x:v>
      </x:c>
    </x:row>
    <x:row r="9" ht="28" customHeight="1">
      <x:c r="A9" s="16" t="str">
        <x:v>Новосибирская ТЭЦ-2</x:v>
      </x:c>
      <x:c r="B9" s="16" t="str">
        <x:v>2000681733-Y111</x:v>
      </x:c>
      <x:c r="C9" s="16" t="str">
        <x:v>КРУГ ВОЙЛОЧНЫЙ 60*30ММ 649-080</x:v>
      </x:c>
      <x:c r="D9" s="16" t="str">
        <x:v>Инструмент и спецоснастка</x:v>
      </x:c>
      <x:c r="E9" s="16" t="str">
        <x:v>ШТ</x:v>
      </x:c>
      <x:c r="F9" s="21" t="n">
        <x:v>3</x:v>
      </x:c>
      <x:c r="G9" s="17" t="n">
        <x:v>333.9628</x:v>
      </x:c>
      <x:c r="H9" s="17" t="n">
        <x:f>G9*F9</x:f>
        <x:v>1001.8884</x:v>
      </x:c>
      <x:c r="I9" s="22" t="str">
        <x:f>HYPERLINK("https://etp-aktiv.ru/catalog/materialy/instrument-i-specosnastka/2000681733-Y111/","Открыть позицию")</x:f>
        <x:v>Открыть позицию</x:v>
      </x:c>
    </x:row>
    <x:row r="10" ht="28" customHeight="1">
      <x:c r="A10" s="16" t="str">
        <x:v>Новосибирская ТЭЦ-2</x:v>
      </x:c>
      <x:c r="B10" s="16" t="str">
        <x:v>2000890391-Y111</x:v>
      </x:c>
      <x:c r="C10" s="16" t="str">
        <x:v>ПАЛЕЦ ДФМ ЭС.2021.31</x:v>
      </x:c>
      <x:c r="D10" s="16" t="str">
        <x:v>Запасные части к дробильно-сортировочному оборудованию</x:v>
      </x:c>
      <x:c r="E10" s="16" t="str">
        <x:v>ШТ</x:v>
      </x:c>
      <x:c r="F10" s="21" t="n">
        <x:v>30</x:v>
      </x:c>
      <x:c r="G10" s="17" t="n">
        <x:v>126.7824</x:v>
      </x:c>
      <x:c r="H10" s="17" t="n">
        <x:f>G10*F10</x:f>
        <x:v>3803.4719999999998</x:v>
      </x:c>
      <x:c r="I10" s="22" t="str">
        <x:f>HYPERLINK("https://etp-aktiv.ru/catalog/materialy/zapasnye-chasti-k-drobilno-sortirovochnomu-oborudovaniyu/2000890391-Y111/","Открыть позицию")</x:f>
        <x:v>Открыть позицию</x:v>
      </x:c>
    </x:row>
    <x:row r="11" ht="28" customHeight="1">
      <x:c r="A11" s="16" t="str">
        <x:v>Новосибирская ТЭЦ-2</x:v>
      </x:c>
      <x:c r="B11" s="16" t="str">
        <x:v>2001057721-Y111</x:v>
      </x:c>
      <x:c r="C11" s="16" t="str">
        <x:v>ПАРА КОНИЧЕСКАЯ ТЭЦ2.2.00.04.00СБ</x:v>
      </x:c>
      <x:c r="D11" s="16" t="str">
        <x:v>Детали редукторов, муфт и элементов муфт</x:v>
      </x:c>
      <x:c r="E11" s="16" t="str">
        <x:v>КМП</x:v>
      </x:c>
      <x:c r="F11" s="21" t="n">
        <x:v>1</x:v>
      </x:c>
      <x:c r="G11" s="17" t="n">
        <x:v>33209.681</x:v>
      </x:c>
      <x:c r="H11" s="17" t="n">
        <x:f>G11*F11</x:f>
        <x:v>33209.681</x:v>
      </x:c>
      <x:c r="I11" s="22" t="str">
        <x:f>HYPERLINK("https://etp-aktiv.ru/catalog/materialy/reduktory/2001057721-Y111/","Открыть позицию")</x:f>
        <x:v>Открыть позицию</x:v>
      </x:c>
    </x:row>
    <x:row r="12" ht="28" customHeight="1">
      <x:c r="A12" s="16" t="str">
        <x:v>Новосибирская ТЭЦ-2</x:v>
      </x:c>
      <x:c r="B12" s="16" t="str">
        <x:v>2000116310-Y111</x:v>
      </x:c>
      <x:c r="C12" s="16" t="str">
        <x:v>ПОДШИПНИК 180203</x:v>
      </x:c>
      <x:c r="D12" s="16" t="str">
        <x:v>Подшипники</x:v>
      </x:c>
      <x:c r="E12" s="16" t="str">
        <x:v>ШТ</x:v>
      </x:c>
      <x:c r="F12" s="21" t="n">
        <x:v>5</x:v>
      </x:c>
      <x:c r="G12" s="17" t="n">
        <x:v>39.7354</x:v>
      </x:c>
      <x:c r="H12" s="17" t="n">
        <x:f>G12*F12</x:f>
        <x:v>198.677</x:v>
      </x:c>
      <x:c r="I12" s="22" t="str">
        <x:f>HYPERLINK("https://etp-aktiv.ru/catalog/materialy/podshipniki/2000116310-Y111/","Открыть позицию")</x:f>
        <x:v>Открыть позицию</x:v>
      </x:c>
    </x:row>
    <x:row r="13" ht="28" customHeight="1">
      <x:c r="A13" s="16" t="str">
        <x:v>Новосибирская ТЭЦ-2</x:v>
      </x:c>
      <x:c r="B13" s="16" t="str">
        <x:v>2000629090-Y111</x:v>
      </x:c>
      <x:c r="C13" s="16" t="str">
        <x:v>ПРОКЛАДКА ДП1000/25 Н52.025.03.007-02</x:v>
      </x:c>
      <x:c r="D13" s="16" t="str">
        <x:v>Запасные части к энергетическим насосам</x:v>
      </x:c>
      <x:c r="E13" s="16" t="str">
        <x:v>ШТ</x:v>
      </x:c>
      <x:c r="F13" s="21" t="n">
        <x:v>2</x:v>
      </x:c>
      <x:c r="G13" s="17" t="n">
        <x:v>565.47</x:v>
      </x:c>
      <x:c r="H13" s="17" t="n">
        <x:f>G13*F13</x:f>
        <x:v>1130.94</x:v>
      </x:c>
      <x:c r="I13" s="22" t="str">
        <x:f>HYPERLINK("https://etp-aktiv.ru/catalog/materialy/zapasnye-chasti-promyshlennogo-oborudovaniya/2000629090-Y111/","Открыть позицию")</x:f>
        <x:v>Открыть позицию</x:v>
      </x:c>
    </x:row>
    <x:row r="14" ht="28" customHeight="1">
      <x:c r="A14" s="16" t="str">
        <x:v>Новосибирская ТЭЦ-3</x:v>
      </x:c>
      <x:c r="B14" s="16" t="str">
        <x:v>2000458319-Y112</x:v>
      </x:c>
      <x:c r="C14" s="16" t="str">
        <x:v>БОКОРЕЗЫ 160ММ LICOTA APT-37005A</x:v>
      </x:c>
      <x:c r="D14" s="16" t="str">
        <x:v>Инструмент и спецоснастка</x:v>
      </x:c>
      <x:c r="E14" s="16" t="str">
        <x:v>ШТ</x:v>
      </x:c>
      <x:c r="F14" s="21" t="n">
        <x:v>1</x:v>
      </x:c>
      <x:c r="G14" s="17" t="n">
        <x:v>876.1551999999999</x:v>
      </x:c>
      <x:c r="H14" s="17" t="n">
        <x:f>G14*F14</x:f>
        <x:v>876.1551999999999</x:v>
      </x:c>
      <x:c r="I14" s="22" t="str">
        <x:f>HYPERLINK("https://etp-aktiv.ru/catalog/materialy/instrument-i-specosnastka/2000458319-Y112/","Открыть позицию")</x:f>
        <x:v>Открыть позицию</x:v>
      </x:c>
    </x:row>
    <x:row r="15" ht="28" customHeight="1">
      <x:c r="A15" s="16" t="str">
        <x:v>Новосибирская ТЭЦ-3</x:v>
      </x:c>
      <x:c r="B15" s="16" t="str">
        <x:v>2000542932-Y112</x:v>
      </x:c>
      <x:c r="C15" s="16" t="str">
        <x:v>ВОРОТОК ПЛАШЕК М3-М14 ВИЗ 1701011</x:v>
      </x:c>
      <x:c r="D15" s="16" t="str">
        <x:v>Инструмент и спецоснастка</x:v>
      </x:c>
      <x:c r="E15" s="16" t="str">
        <x:v>ШТ</x:v>
      </x:c>
      <x:c r="F15" s="21" t="n">
        <x:v>1</x:v>
      </x:c>
      <x:c r="G15" s="17" t="n">
        <x:v>388.7286</x:v>
      </x:c>
      <x:c r="H15" s="17" t="n">
        <x:f>G15*F15</x:f>
        <x:v>388.7286</x:v>
      </x:c>
      <x:c r="I15" s="22" t="str">
        <x:f>HYPERLINK("https://etp-aktiv.ru/catalog/materialy/instrument-i-specosnastka/2000542932-Y112/","Открыть позицию")</x:f>
        <x:v>Открыть позицию</x:v>
      </x:c>
    </x:row>
    <x:row r="16" ht="28" customHeight="1">
      <x:c r="A16" s="16" t="str">
        <x:v>Новосибирская ТЭЦ-3</x:v>
      </x:c>
      <x:c r="B16" s="16" t="str">
        <x:v>2000533486-Y112</x:v>
      </x:c>
      <x:c r="C16" s="16" t="str">
        <x:v>ВТУЛКА ГИДРОПЯТЫ Н.17.226.104.02</x:v>
      </x:c>
      <x:c r="D16" s="16" t="str">
        <x:v>Запасные части к энергетическим насосам</x:v>
      </x:c>
      <x:c r="E16" s="16" t="str">
        <x:v>ШТ</x:v>
      </x:c>
      <x:c r="F16" s="21" t="n">
        <x:v>1</x:v>
      </x:c>
      <x:c r="G16" s="17" t="n">
        <x:v>73.2</x:v>
      </x:c>
      <x:c r="H16" s="17" t="n">
        <x:f>G16*F16</x:f>
        <x:v>73.2</x:v>
      </x:c>
      <x:c r="I16" s="22" t="str">
        <x:f>HYPERLINK("https://etp-aktiv.ru/catalog/materialy/zapasnye-chasti-promyshlennogo-oborudovaniya/2000533486-Y112/","Открыть позицию")</x:f>
        <x:v>Открыть позицию</x:v>
      </x:c>
    </x:row>
    <x:row r="17" ht="28" customHeight="1">
      <x:c r="A17" s="16" t="str">
        <x:v>Новосибирская ТЭЦ-3</x:v>
      </x:c>
      <x:c r="B17" s="16" t="str">
        <x:v>2000584813-Y112</x:v>
      </x:c>
      <x:c r="C17" s="16" t="str">
        <x:v>ВТУЛКА ДИСТАНЦИОННАЯ 50.126.009</x:v>
      </x:c>
      <x:c r="D17" s="16" t="str">
        <x:v>Запасные части к гидравлическим насосам</x:v>
      </x:c>
      <x:c r="E17" s="16" t="str">
        <x:v>ШТ</x:v>
      </x:c>
      <x:c r="F17" s="21" t="n">
        <x:v>1</x:v>
      </x:c>
      <x:c r="G17" s="17" t="n">
        <x:v>3.66</x:v>
      </x:c>
      <x:c r="H17" s="17" t="n">
        <x:f>G17*F17</x:f>
        <x:v>3.66</x:v>
      </x:c>
      <x:c r="I17" s="22" t="str">
        <x:f>HYPERLINK("https://etp-aktiv.ru/catalog/materialy/nasosno-kompressornoe-oborudovanie/2000584813-Y112/","Открыть позицию")</x:f>
        <x:v>Открыть позицию</x:v>
      </x:c>
    </x:row>
    <x:row r="18" ht="28" customHeight="1">
      <x:c r="A18" s="16" t="str">
        <x:v>Новосибирская ТЭЦ-3</x:v>
      </x:c>
      <x:c r="B18" s="16" t="str">
        <x:v>2000533784-Y112</x:v>
      </x:c>
      <x:c r="C18" s="16" t="str">
        <x:v>ЗИП 110УТ6 20.00 НАС СЦН-1250-140-11</x:v>
      </x:c>
      <x:c r="D18" s="16" t="str">
        <x:v>Запасные части к энергетическим насосам</x:v>
      </x:c>
      <x:c r="E18" s="16" t="str">
        <x:v>ШТ</x:v>
      </x:c>
      <x:c r="F18" s="21" t="n">
        <x:v>2</x:v>
      </x:c>
      <x:c r="G18" s="17" t="n">
        <x:v>3539.525</x:v>
      </x:c>
      <x:c r="H18" s="17" t="n">
        <x:f>G18*F18</x:f>
        <x:v>7079.05</x:v>
      </x:c>
      <x:c r="I18" s="22" t="str">
        <x:f>HYPERLINK("https://etp-aktiv.ru/catalog/materialy/zapasnye-chasti-promyshlennogo-oborudovaniya/2000533784-Y112/","Открыть позицию")</x:f>
        <x:v>Открыть позицию</x:v>
      </x:c>
    </x:row>
    <x:row r="19" ht="28" customHeight="1">
      <x:c r="A19" s="16" t="str">
        <x:v>Новосибирская ТЭЦ-3</x:v>
      </x:c>
      <x:c r="B19" s="16" t="str">
        <x:v>2000211516-Y112</x:v>
      </x:c>
      <x:c r="C19" s="16" t="str">
        <x:v>КРУГ АБРАЗИВНЫЙ 250*40*76 25А</x:v>
      </x:c>
      <x:c r="D19" s="16" t="str">
        <x:v>Инструмент и спецоснастка</x:v>
      </x:c>
      <x:c r="E19" s="16" t="str">
        <x:v>ШТ</x:v>
      </x:c>
      <x:c r="F19" s="21" t="n">
        <x:v>6</x:v>
      </x:c>
      <x:c r="G19" s="17" t="n">
        <x:v>1045.2472</x:v>
      </x:c>
      <x:c r="H19" s="17" t="n">
        <x:f>G19*F19</x:f>
        <x:v>6271.483200000001</x:v>
      </x:c>
      <x:c r="I19" s="22" t="str">
        <x:f>HYPERLINK("https://etp-aktiv.ru/catalog/materialy/instrument-i-specosnastka/2000211516-Y112/","Открыть позицию")</x:f>
        <x:v>Открыть позицию</x:v>
      </x:c>
    </x:row>
    <x:row r="20" ht="28" customHeight="1">
      <x:c r="A20" s="16" t="str">
        <x:v>Новосибирская ТЭЦ-3</x:v>
      </x:c>
      <x:c r="B20" s="16" t="str">
        <x:v>2000544112-Y112</x:v>
      </x:c>
      <x:c r="C20" s="16" t="str">
        <x:v>КРУГ МЕТАЛЛ 41 180*2,5*22,23 A 30 S BF</x:v>
      </x:c>
      <x:c r="D20" s="16" t="str">
        <x:v>Инструмент и спецоснастка</x:v>
      </x:c>
      <x:c r="E20" s="16" t="str">
        <x:v>ШТ</x:v>
      </x:c>
      <x:c r="F20" s="21" t="n">
        <x:v>7</x:v>
      </x:c>
      <x:c r="G20" s="17" t="n">
        <x:v>32.8546</x:v>
      </x:c>
      <x:c r="H20" s="17" t="n">
        <x:f>G20*F20</x:f>
        <x:v>229.98219999999998</x:v>
      </x:c>
      <x:c r="I20" s="22" t="str">
        <x:f>HYPERLINK("https://etp-aktiv.ru/catalog/materialy/instrument-i-specosnastka/2000544112-Y112/","Открыть позицию")</x:f>
        <x:v>Открыть позицию</x:v>
      </x:c>
    </x:row>
    <x:row r="21" ht="28" customHeight="1">
      <x:c r="A21" s="16" t="str">
        <x:v>Новосибирская ТЭЦ-3</x:v>
      </x:c>
      <x:c r="B21" s="16" t="str">
        <x:v>2000138134-Y112</x:v>
      </x:c>
      <x:c r="C21" s="16" t="str">
        <x:v>КРУГ ОТРЕЗНОЙ 400*4*32 13А</x:v>
      </x:c>
      <x:c r="D21" s="16" t="str">
        <x:v>Инструмент и спецоснастка</x:v>
      </x:c>
      <x:c r="E21" s="16" t="str">
        <x:v>ШТ</x:v>
      </x:c>
      <x:c r="F21" s="21" t="n">
        <x:v>3</x:v>
      </x:c>
      <x:c r="G21" s="17" t="n">
        <x:v>255.3094</x:v>
      </x:c>
      <x:c r="H21" s="17" t="n">
        <x:f>G21*F21</x:f>
        <x:v>765.9282000000001</x:v>
      </x:c>
      <x:c r="I21" s="22" t="str">
        <x:f>HYPERLINK("https://etp-aktiv.ru/catalog/materialy/instrument-i-specosnastka/2000138134-Y112/","Открыть позицию")</x:f>
        <x:v>Открыть позицию</x:v>
      </x:c>
    </x:row>
    <x:row r="22" ht="28" customHeight="1">
      <x:c r="A22" s="16" t="str">
        <x:v>Новосибирская ТЭЦ-3</x:v>
      </x:c>
      <x:c r="B22" s="16" t="str">
        <x:v>2000442747-Y112</x:v>
      </x:c>
      <x:c r="C22" s="16" t="str">
        <x:v>МЕТЧИК МАШ-РУЧ ГЛУХ ЛЕВ 9*1</x:v>
      </x:c>
      <x:c r="D22" s="16" t="str">
        <x:v>Инструмент и спецоснастка</x:v>
      </x:c>
      <x:c r="E22" s="16" t="str">
        <x:v>ШТ</x:v>
      </x:c>
      <x:c r="F22" s="21" t="n">
        <x:v>2</x:v>
      </x:c>
      <x:c r="G22" s="17" t="n">
        <x:v>0.366</x:v>
      </x:c>
      <x:c r="H22" s="17" t="n">
        <x:f>G22*F22</x:f>
        <x:v>0.732</x:v>
      </x:c>
      <x:c r="I22" s="22" t="str">
        <x:f>HYPERLINK("https://etp-aktiv.ru/catalog/materialy/instrument-i-specosnastka/2000442747-Y112/","Открыть позицию")</x:f>
        <x:v>Открыть позицию</x:v>
      </x:c>
    </x:row>
    <x:row r="23" ht="28" customHeight="1">
      <x:c r="A23" s="16" t="str">
        <x:v>Новосибирская ТЭЦ-3</x:v>
      </x:c>
      <x:c r="B23" s="16" t="str">
        <x:v>2000004727-Y112</x:v>
      </x:c>
      <x:c r="C23" s="16" t="str">
        <x:v>ПОДШИПНИК 1310</x:v>
      </x:c>
      <x:c r="D23" s="16" t="str">
        <x:v>Подшипники</x:v>
      </x:c>
      <x:c r="E23" s="16" t="str">
        <x:v>ШТ</x:v>
      </x:c>
      <x:c r="F23" s="21" t="n">
        <x:v>10</x:v>
      </x:c>
      <x:c r="G23" s="17" t="n">
        <x:v>581.2446</x:v>
      </x:c>
      <x:c r="H23" s="17" t="n">
        <x:f>G23*F23</x:f>
        <x:v>5812.446</x:v>
      </x:c>
      <x:c r="I23" s="22" t="str">
        <x:f>HYPERLINK("https://etp-aktiv.ru/catalog/materialy/podshipniki/2000004727-Y112/","Открыть позицию")</x:f>
        <x:v>Открыть позицию</x:v>
      </x:c>
    </x:row>
    <x:row r="24" ht="28" customHeight="1">
      <x:c r="A24" s="16" t="str">
        <x:v>Новосибирская ТЭЦ-3</x:v>
      </x:c>
      <x:c r="B24" s="16" t="str">
        <x:v>2000116342-Y112</x:v>
      </x:c>
      <x:c r="C24" s="16" t="str">
        <x:v>ПОДШИПНИК 180207</x:v>
      </x:c>
      <x:c r="D24" s="16" t="str">
        <x:v>Подшипники</x:v>
      </x:c>
      <x:c r="E24" s="16" t="str">
        <x:v>ШТ</x:v>
      </x:c>
      <x:c r="F24" s="21" t="n">
        <x:v>1</x:v>
      </x:c>
      <x:c r="G24" s="17" t="n">
        <x:v>114.375</x:v>
      </x:c>
      <x:c r="H24" s="17" t="n">
        <x:f>G24*F24</x:f>
        <x:v>114.375</x:v>
      </x:c>
      <x:c r="I24" s="22" t="str">
        <x:f>HYPERLINK("https://etp-aktiv.ru/catalog/materialy/podshipniki/2000116342-Y112/","Открыть позицию")</x:f>
        <x:v>Открыть позицию</x:v>
      </x:c>
    </x:row>
    <x:row r="25" ht="28" customHeight="1">
      <x:c r="A25" s="16" t="str">
        <x:v>Новосибирская ТЭЦ-3</x:v>
      </x:c>
      <x:c r="B25" s="16" t="str">
        <x:v>2000116860-Y112</x:v>
      </x:c>
      <x:c r="C25" s="16" t="str">
        <x:v>ПОДШИПНИК 180211</x:v>
      </x:c>
      <x:c r="D25" s="16" t="str">
        <x:v>Подшипники</x:v>
      </x:c>
      <x:c r="E25" s="16" t="str">
        <x:v>ШТ</x:v>
      </x:c>
      <x:c r="F25" s="21" t="n">
        <x:v>3</x:v>
      </x:c>
      <x:c r="G25" s="17" t="n">
        <x:v>409.432</x:v>
      </x:c>
      <x:c r="H25" s="17" t="n">
        <x:f>G25*F25</x:f>
        <x:v>1228.296</x:v>
      </x:c>
      <x:c r="I25" s="22" t="str">
        <x:f>HYPERLINK("https://etp-aktiv.ru/catalog/materialy/podshipniki/2000116860-Y112/","Открыть позицию")</x:f>
        <x:v>Открыть позицию</x:v>
      </x:c>
    </x:row>
    <x:row r="26" ht="28" customHeight="1">
      <x:c r="A26" s="16" t="str">
        <x:v>Новосибирская ТЭЦ-3</x:v>
      </x:c>
      <x:c r="B26" s="16" t="str">
        <x:v>2000116861-Y112</x:v>
      </x:c>
      <x:c r="C26" s="16" t="str">
        <x:v>ПОДШИПНИК 180213</x:v>
      </x:c>
      <x:c r="D26" s="16" t="str">
        <x:v>Подшипники</x:v>
      </x:c>
      <x:c r="E26" s="16" t="str">
        <x:v>ШТ</x:v>
      </x:c>
      <x:c r="F26" s="21" t="n">
        <x:v>3</x:v>
      </x:c>
      <x:c r="G26" s="17" t="n">
        <x:v>533.8475999999999</x:v>
      </x:c>
      <x:c r="H26" s="17" t="n">
        <x:f>G26*F26</x:f>
        <x:v>1601.5427999999997</x:v>
      </x:c>
      <x:c r="I26" s="22" t="str">
        <x:f>HYPERLINK("https://etp-aktiv.ru/catalog/materialy/podshipniki/2000116861-Y112/","Открыть позицию")</x:f>
        <x:v>Открыть позицию</x:v>
      </x:c>
    </x:row>
    <x:row r="27" ht="28" customHeight="1">
      <x:c r="A27" s="16" t="str">
        <x:v>Новосибирская ТЭЦ-3</x:v>
      </x:c>
      <x:c r="B27" s="16" t="str">
        <x:v>2000133285-Y112</x:v>
      </x:c>
      <x:c r="C27" s="16" t="str">
        <x:v>ПОДШИПНИК 180214</x:v>
      </x:c>
      <x:c r="D27" s="16" t="str">
        <x:v>Подшипники</x:v>
      </x:c>
      <x:c r="E27" s="16" t="str">
        <x:v>ШТ</x:v>
      </x:c>
      <x:c r="F27" s="21" t="n">
        <x:v>4</x:v>
      </x:c>
      <x:c r="G27" s="17" t="n">
        <x:v>1026.6299999999999</x:v>
      </x:c>
      <x:c r="H27" s="17" t="n">
        <x:f>G27*F27</x:f>
        <x:v>4106.5199999999995</x:v>
      </x:c>
      <x:c r="I27" s="22" t="str">
        <x:f>HYPERLINK("https://etp-aktiv.ru/catalog/materialy/podshipniki/2000133285-Y112/","Открыть позицию")</x:f>
        <x:v>Открыть позицию</x:v>
      </x:c>
    </x:row>
    <x:row r="28" ht="28" customHeight="1">
      <x:c r="A28" s="16" t="str">
        <x:v>Новосибирская ТЭЦ-3</x:v>
      </x:c>
      <x:c r="B28" s="16" t="str">
        <x:v>2000001043-Y112</x:v>
      </x:c>
      <x:c r="C28" s="16" t="str">
        <x:v>ПОДШИПНИК 180302</x:v>
      </x:c>
      <x:c r="D28" s="16" t="str">
        <x:v>Подшипники</x:v>
      </x:c>
      <x:c r="E28" s="16" t="str">
        <x:v>ШТ</x:v>
      </x:c>
      <x:c r="F28" s="21" t="n">
        <x:v>4</x:v>
      </x:c>
      <x:c r="G28" s="17" t="n">
        <x:v>102.43119999999999</x:v>
      </x:c>
      <x:c r="H28" s="17" t="n">
        <x:f>G28*F28</x:f>
        <x:v>409.72479999999996</x:v>
      </x:c>
      <x:c r="I28" s="22" t="str">
        <x:f>HYPERLINK("https://etp-aktiv.ru/catalog/materialy/podshipniki/2000001043-Y112/","Открыть позицию")</x:f>
        <x:v>Открыть позицию</x:v>
      </x:c>
    </x:row>
    <x:row r="29" ht="28" customHeight="1">
      <x:c r="A29" s="16" t="str">
        <x:v>Новосибирская ТЭЦ-3</x:v>
      </x:c>
      <x:c r="B29" s="16" t="str">
        <x:v>2000556558-Y112</x:v>
      </x:c>
      <x:c r="C29" s="16" t="str">
        <x:v>ПОДШИПНИК 180505</x:v>
      </x:c>
      <x:c r="D29" s="16" t="str">
        <x:v>Подшипники</x:v>
      </x:c>
      <x:c r="E29" s="16" t="str">
        <x:v>ШТ</x:v>
      </x:c>
      <x:c r="F29" s="21" t="n">
        <x:v>2</x:v>
      </x:c>
      <x:c r="G29" s="17" t="n">
        <x:v>73.8832</x:v>
      </x:c>
      <x:c r="H29" s="17" t="n">
        <x:f>G29*F29</x:f>
        <x:v>147.7664</x:v>
      </x:c>
      <x:c r="I29" s="22" t="str">
        <x:f>HYPERLINK("https://etp-aktiv.ru/catalog/materialy/podshipniki/2000556558-Y112/","Открыть позицию")</x:f>
        <x:v>Открыть позицию</x:v>
      </x:c>
    </x:row>
    <x:row r="30" ht="28" customHeight="1">
      <x:c r="A30" s="16" t="str">
        <x:v>Новосибирская ТЭЦ-3</x:v>
      </x:c>
      <x:c r="B30" s="16" t="str">
        <x:v>2000127212-Y112</x:v>
      </x:c>
      <x:c r="C30" s="16" t="str">
        <x:v>ПОДШИПНИК 180604</x:v>
      </x:c>
      <x:c r="D30" s="16" t="str">
        <x:v>Подшипники</x:v>
      </x:c>
      <x:c r="E30" s="16" t="str">
        <x:v>ШТ</x:v>
      </x:c>
      <x:c r="F30" s="21" t="n">
        <x:v>4</x:v>
      </x:c>
      <x:c r="G30" s="17" t="n">
        <x:v>35.7948</x:v>
      </x:c>
      <x:c r="H30" s="17" t="n">
        <x:f>G30*F30</x:f>
        <x:v>143.1792</x:v>
      </x:c>
      <x:c r="I30" s="22" t="str">
        <x:f>HYPERLINK("https://etp-aktiv.ru/catalog/materialy/podshipniki/2000127212-Y112/","Открыть позицию")</x:f>
        <x:v>Открыть позицию</x:v>
      </x:c>
    </x:row>
    <x:row r="31" ht="28" customHeight="1">
      <x:c r="A31" s="16" t="str">
        <x:v>Новосибирская ТЭЦ-3</x:v>
      </x:c>
      <x:c r="B31" s="16" t="str">
        <x:v>2000014289-Y112</x:v>
      </x:c>
      <x:c r="C31" s="16" t="str">
        <x:v>ПОДШИПНИК 2007152</x:v>
      </x:c>
      <x:c r="D31" s="16" t="str">
        <x:v>Подшипники</x:v>
      </x:c>
      <x:c r="E31" s="16" t="str">
        <x:v>ШТ</x:v>
      </x:c>
      <x:c r="F31" s="21" t="n">
        <x:v>2</x:v>
      </x:c>
      <x:c r="G31" s="17" t="n">
        <x:v>45137.1574</x:v>
      </x:c>
      <x:c r="H31" s="17" t="n">
        <x:f>G31*F31</x:f>
        <x:v>90274.3148</x:v>
      </x:c>
      <x:c r="I31" s="22" t="str">
        <x:f>HYPERLINK("https://etp-aktiv.ru/catalog/materialy/podshipniki/2000014289-Y112/","Открыть позицию")</x:f>
        <x:v>Открыть позицию</x:v>
      </x:c>
    </x:row>
    <x:row r="32" ht="28" customHeight="1">
      <x:c r="A32" s="16" t="str">
        <x:v>Новосибирская ТЭЦ-3</x:v>
      </x:c>
      <x:c r="B32" s="16" t="str">
        <x:v>2000034365-Y112</x:v>
      </x:c>
      <x:c r="C32" s="16" t="str">
        <x:v>ПОДШИПНИК 23064</x:v>
      </x:c>
      <x:c r="D32" s="16" t="str">
        <x:v>Подшипники</x:v>
      </x:c>
      <x:c r="E32" s="16" t="str">
        <x:v>ШТ</x:v>
      </x:c>
      <x:c r="F32" s="21" t="n">
        <x:v>2</x:v>
      </x:c>
      <x:c r="G32" s="17" t="n">
        <x:v>77775.0122</x:v>
      </x:c>
      <x:c r="H32" s="17" t="n">
        <x:f>G32*F32</x:f>
        <x:v>155550.0244</x:v>
      </x:c>
      <x:c r="I32" s="22" t="str">
        <x:f>HYPERLINK("https://etp-aktiv.ru/catalog/materialy/podshipniki/2000034365-Y112/","Открыть позицию")</x:f>
        <x:v>Открыть позицию</x:v>
      </x:c>
    </x:row>
    <x:row r="33" ht="28" customHeight="1">
      <x:c r="A33" s="16" t="str">
        <x:v>Новосибирская ТЭЦ-3</x:v>
      </x:c>
      <x:c r="B33" s="16" t="str">
        <x:v>2000115345-Y112</x:v>
      </x:c>
      <x:c r="C33" s="16" t="str">
        <x:v>ПОДШИПНИК 2311</x:v>
      </x:c>
      <x:c r="D33" s="16" t="str">
        <x:v>Подшипники</x:v>
      </x:c>
      <x:c r="E33" s="16" t="str">
        <x:v>ШТ</x:v>
      </x:c>
      <x:c r="F33" s="21" t="n">
        <x:v>2</x:v>
      </x:c>
      <x:c r="G33" s="17" t="n">
        <x:v>721.0687999999999</x:v>
      </x:c>
      <x:c r="H33" s="17" t="n">
        <x:f>G33*F33</x:f>
        <x:v>1442.1375999999998</x:v>
      </x:c>
      <x:c r="I33" s="22" t="str">
        <x:f>HYPERLINK("https://etp-aktiv.ru/catalog/materialy/podshipniki/2000115345-Y112/","Открыть позицию")</x:f>
        <x:v>Открыть позицию</x:v>
      </x:c>
    </x:row>
    <x:row r="34" ht="28" customHeight="1">
      <x:c r="A34" s="16" t="str">
        <x:v>Новосибирская ТЭЦ-3</x:v>
      </x:c>
      <x:c r="B34" s="16" t="str">
        <x:v>2000116720-Y112</x:v>
      </x:c>
      <x:c r="C34" s="16" t="str">
        <x:v>ПОДШИПНИК 32320</x:v>
      </x:c>
      <x:c r="D34" s="16" t="str">
        <x:v>Подшипники</x:v>
      </x:c>
      <x:c r="E34" s="16" t="str">
        <x:v>ШТ</x:v>
      </x:c>
      <x:c r="F34" s="21" t="n">
        <x:v>4</x:v>
      </x:c>
      <x:c r="G34" s="17" t="n">
        <x:v>3125.1764</x:v>
      </x:c>
      <x:c r="H34" s="17" t="n">
        <x:f>G34*F34</x:f>
        <x:v>12500.7056</x:v>
      </x:c>
      <x:c r="I34" s="22" t="str">
        <x:f>HYPERLINK("https://etp-aktiv.ru/catalog/materialy/podshipniki/2000116720-Y112/","Открыть позицию")</x:f>
        <x:v>Открыть позицию</x:v>
      </x:c>
    </x:row>
    <x:row r="35" ht="28" customHeight="1">
      <x:c r="A35" s="16" t="str">
        <x:v>Новосибирская ТЭЦ-3</x:v>
      </x:c>
      <x:c r="B35" s="16" t="str">
        <x:v>2000010923-Y112</x:v>
      </x:c>
      <x:c r="C35" s="16" t="str">
        <x:v>ПОДШИПНИК 53522</x:v>
      </x:c>
      <x:c r="D35" s="16" t="str">
        <x:v>Подшипники</x:v>
      </x:c>
      <x:c r="E35" s="16" t="str">
        <x:v>ШТ</x:v>
      </x:c>
      <x:c r="F35" s="21" t="n">
        <x:v>6</x:v>
      </x:c>
      <x:c r="G35" s="17" t="n">
        <x:v>5204.995800000001</x:v>
      </x:c>
      <x:c r="H35" s="17" t="n">
        <x:f>G35*F35</x:f>
        <x:v>31229.974800000004</x:v>
      </x:c>
      <x:c r="I35" s="22" t="str">
        <x:f>HYPERLINK("https://etp-aktiv.ru/catalog/materialy/podshipniki/2000010923-Y112/","Открыть позицию")</x:f>
        <x:v>Открыть позицию</x:v>
      </x:c>
    </x:row>
    <x:row r="36" ht="28" customHeight="1">
      <x:c r="A36" s="16" t="str">
        <x:v>Новосибирская ТЭЦ-3</x:v>
      </x:c>
      <x:c r="B36" s="16" t="str">
        <x:v>2000116334-Y112</x:v>
      </x:c>
      <x:c r="C36" s="16" t="str">
        <x:v>ПОДШИПНИК 60206</x:v>
      </x:c>
      <x:c r="D36" s="16" t="str">
        <x:v>Подшипники</x:v>
      </x:c>
      <x:c r="E36" s="16" t="str">
        <x:v>ШТ</x:v>
      </x:c>
      <x:c r="F36" s="21" t="n">
        <x:v>5</x:v>
      </x:c>
      <x:c r="G36" s="17" t="n">
        <x:v>119.1574</x:v>
      </x:c>
      <x:c r="H36" s="17" t="n">
        <x:f>G36*F36</x:f>
        <x:v>595.787</x:v>
      </x:c>
      <x:c r="I36" s="22" t="str">
        <x:f>HYPERLINK("https://etp-aktiv.ru/catalog/materialy/podshipniki/2000116334-Y112/","Открыть позицию")</x:f>
        <x:v>Открыть позицию</x:v>
      </x:c>
    </x:row>
    <x:row r="37" ht="28" customHeight="1">
      <x:c r="A37" s="16" t="str">
        <x:v>Новосибирская ТЭЦ-3</x:v>
      </x:c>
      <x:c r="B37" s="16" t="str">
        <x:v>2000116331-Y112</x:v>
      </x:c>
      <x:c r="C37" s="16" t="str">
        <x:v>ПОДШИПНИК 60305</x:v>
      </x:c>
      <x:c r="D37" s="16" t="str">
        <x:v>Подшипники</x:v>
      </x:c>
      <x:c r="E37" s="16" t="str">
        <x:v>ШТ</x:v>
      </x:c>
      <x:c r="F37" s="21" t="n">
        <x:v>1</x:v>
      </x:c>
      <x:c r="G37" s="17" t="n">
        <x:v>101.504</x:v>
      </x:c>
      <x:c r="H37" s="17" t="n">
        <x:f>G37*F37</x:f>
        <x:v>101.504</x:v>
      </x:c>
      <x:c r="I37" s="22" t="str">
        <x:f>HYPERLINK("https://etp-aktiv.ru/catalog/materialy/podshipniki/2000116331-Y112/","Открыть позицию")</x:f>
        <x:v>Открыть позицию</x:v>
      </x:c>
    </x:row>
    <x:row r="38" ht="28" customHeight="1">
      <x:c r="A38" s="16" t="str">
        <x:v>Новосибирская ТЭЦ-3</x:v>
      </x:c>
      <x:c r="B38" s="16" t="str">
        <x:v>2000116362-Y112</x:v>
      </x:c>
      <x:c r="C38" s="16" t="str">
        <x:v>ПОДШИПНИК 60307</x:v>
      </x:c>
      <x:c r="D38" s="16" t="str">
        <x:v>Подшипники</x:v>
      </x:c>
      <x:c r="E38" s="16" t="str">
        <x:v>ШТ</x:v>
      </x:c>
      <x:c r="F38" s="21" t="n">
        <x:v>1</x:v>
      </x:c>
      <x:c r="G38" s="17" t="n">
        <x:v>129.4176</x:v>
      </x:c>
      <x:c r="H38" s="17" t="n">
        <x:f>G38*F38</x:f>
        <x:v>129.4176</x:v>
      </x:c>
      <x:c r="I38" s="22" t="str">
        <x:f>HYPERLINK("https://etp-aktiv.ru/catalog/materialy/podshipniki/2000116362-Y112/","Открыть позицию")</x:f>
        <x:v>Открыть позицию</x:v>
      </x:c>
    </x:row>
    <x:row r="39" ht="28" customHeight="1">
      <x:c r="A39" s="16" t="str">
        <x:v>Новосибирская ТЭЦ-3</x:v>
      </x:c>
      <x:c r="B39" s="16" t="str">
        <x:v>2000556547-Y112</x:v>
      </x:c>
      <x:c r="C39" s="16" t="str">
        <x:v>ПОДШИПНИК 66412</x:v>
      </x:c>
      <x:c r="D39" s="16" t="str">
        <x:v>Подшипники</x:v>
      </x:c>
      <x:c r="E39" s="16" t="str">
        <x:v>ШТ</x:v>
      </x:c>
      <x:c r="F39" s="21" t="n">
        <x:v>2</x:v>
      </x:c>
      <x:c r="G39" s="17" t="n">
        <x:v>1561.9294</x:v>
      </x:c>
      <x:c r="H39" s="17" t="n">
        <x:f>G39*F39</x:f>
        <x:v>3123.8588</x:v>
      </x:c>
      <x:c r="I39" s="22" t="str">
        <x:f>HYPERLINK("https://etp-aktiv.ru/catalog/materialy/podshipniki/2000556547-Y112/","Открыть позицию")</x:f>
        <x:v>Открыть позицию</x:v>
      </x:c>
    </x:row>
    <x:row r="40" ht="28" customHeight="1">
      <x:c r="A40" s="16" t="str">
        <x:v>Новосибирская ТЭЦ-3</x:v>
      </x:c>
      <x:c r="B40" s="16" t="str">
        <x:v>2000116630-Y112</x:v>
      </x:c>
      <x:c r="C40" s="16" t="str">
        <x:v>ПОДШИПНИК 7522</x:v>
      </x:c>
      <x:c r="D40" s="16" t="str">
        <x:v>Подшипники</x:v>
      </x:c>
      <x:c r="E40" s="16" t="str">
        <x:v>ШТ</x:v>
      </x:c>
      <x:c r="F40" s="21" t="n">
        <x:v>1</x:v>
      </x:c>
      <x:c r="G40" s="17" t="n">
        <x:v>1852.875</x:v>
      </x:c>
      <x:c r="H40" s="17" t="n">
        <x:f>G40*F40</x:f>
        <x:v>1852.875</x:v>
      </x:c>
      <x:c r="I40" s="22" t="str">
        <x:f>HYPERLINK("https://etp-aktiv.ru/catalog/materialy/podshipniki/2000116630-Y112/","Открыть позицию")</x:f>
        <x:v>Открыть позицию</x:v>
      </x:c>
    </x:row>
    <x:row r="41" ht="28" customHeight="1">
      <x:c r="A41" s="16" t="str">
        <x:v>Новосибирская ТЭЦ-3</x:v>
      </x:c>
      <x:c r="B41" s="16" t="str">
        <x:v>2000116672-Y112</x:v>
      </x:c>
      <x:c r="C41" s="16" t="str">
        <x:v>ПОДШИПНИК 7528</x:v>
      </x:c>
      <x:c r="D41" s="16" t="str">
        <x:v>Подшипники</x:v>
      </x:c>
      <x:c r="E41" s="16" t="str">
        <x:v>ШТ</x:v>
      </x:c>
      <x:c r="F41" s="21" t="n">
        <x:v>1</x:v>
      </x:c>
      <x:c r="G41" s="17" t="n">
        <x:v>10280.0006</x:v>
      </x:c>
      <x:c r="H41" s="17" t="n">
        <x:f>G41*F41</x:f>
        <x:v>10280.0006</x:v>
      </x:c>
      <x:c r="I41" s="22" t="str">
        <x:f>HYPERLINK("https://etp-aktiv.ru/catalog/materialy/podshipniki/2000116672-Y112/","Открыть позицию")</x:f>
        <x:v>Открыть позицию</x:v>
      </x:c>
    </x:row>
    <x:row r="42" ht="28" customHeight="1">
      <x:c r="A42" s="16" t="str">
        <x:v>Новосибирская ТЭЦ-3</x:v>
      </x:c>
      <x:c r="B42" s="16" t="str">
        <x:v>2000116800-Y112</x:v>
      </x:c>
      <x:c r="C42" s="16" t="str">
        <x:v>ПОДШИПНИК 7634</x:v>
      </x:c>
      <x:c r="D42" s="16" t="str">
        <x:v>Подшипники</x:v>
      </x:c>
      <x:c r="E42" s="16" t="str">
        <x:v>ШТ</x:v>
      </x:c>
      <x:c r="F42" s="21" t="n">
        <x:v>2</x:v>
      </x:c>
      <x:c r="G42" s="17" t="n">
        <x:v>29113.286999999997</x:v>
      </x:c>
      <x:c r="H42" s="17" t="n">
        <x:f>G42*F42</x:f>
        <x:v>58226.57399999999</x:v>
      </x:c>
      <x:c r="I42" s="22" t="str">
        <x:f>HYPERLINK("https://etp-aktiv.ru/catalog/materialy/podshipniki/2000116800-Y112/","Открыть позицию")</x:f>
        <x:v>Открыть позицию</x:v>
      </x:c>
    </x:row>
    <x:row r="43" ht="28" customHeight="1">
      <x:c r="A43" s="16" t="str">
        <x:v>Новосибирская ТЭЦ-3</x:v>
      </x:c>
      <x:c r="B43" s="16" t="str">
        <x:v>2000034661-Y112</x:v>
      </x:c>
      <x:c r="C43" s="16" t="str">
        <x:v>ПОДШИПНИК 80307</x:v>
      </x:c>
      <x:c r="D43" s="16" t="str">
        <x:v>Подшипники</x:v>
      </x:c>
      <x:c r="E43" s="16" t="str">
        <x:v>ШТ</x:v>
      </x:c>
      <x:c r="F43" s="21" t="n">
        <x:v>6</x:v>
      </x:c>
      <x:c r="G43" s="17" t="n">
        <x:v>7.869</x:v>
      </x:c>
      <x:c r="H43" s="17" t="n">
        <x:f>G43*F43</x:f>
        <x:v>47.214</x:v>
      </x:c>
      <x:c r="I43" s="22" t="str">
        <x:f>HYPERLINK("https://etp-aktiv.ru/catalog/materialy/podshipniki/2000034661-Y112/","Открыть позицию")</x:f>
        <x:v>Открыть позицию</x:v>
      </x:c>
    </x:row>
    <x:row r="44" ht="28" customHeight="1">
      <x:c r="A44" s="16" t="str">
        <x:v>Новосибирская ТЭЦ-3</x:v>
      </x:c>
      <x:c r="B44" s="16" t="str">
        <x:v>2000116694-Y112</x:v>
      </x:c>
      <x:c r="C44" s="16" t="str">
        <x:v>ПОДШИПНИК 8322</x:v>
      </x:c>
      <x:c r="D44" s="16" t="str">
        <x:v>Подшипники</x:v>
      </x:c>
      <x:c r="E44" s="16" t="str">
        <x:v>ШТ</x:v>
      </x:c>
      <x:c r="F44" s="21" t="n">
        <x:v>2</x:v>
      </x:c>
      <x:c r="G44" s="17" t="n">
        <x:v>2079.4778</x:v>
      </x:c>
      <x:c r="H44" s="17" t="n">
        <x:f>G44*F44</x:f>
        <x:v>4158.9556</x:v>
      </x:c>
      <x:c r="I44" s="22" t="str">
        <x:f>HYPERLINK("https://etp-aktiv.ru/catalog/materialy/podshipniki/2000116694-Y112/","Открыть позицию")</x:f>
        <x:v>Открыть позицию</x:v>
      </x:c>
    </x:row>
    <x:row r="45" ht="28" customHeight="1">
      <x:c r="A45" s="16" t="str">
        <x:v>Новосибирская ТЭЦ-3</x:v>
      </x:c>
      <x:c r="B45" s="16" t="str">
        <x:v>2000340899-Y112</x:v>
      </x:c>
      <x:c r="C45" s="16" t="str">
        <x:v>ПОДШИПНИК HM926710</x:v>
      </x:c>
      <x:c r="D45" s="16" t="str">
        <x:v>Подшипники</x:v>
      </x:c>
      <x:c r="E45" s="16" t="str">
        <x:v>ШТ</x:v>
      </x:c>
      <x:c r="F45" s="21" t="n">
        <x:v>2</x:v>
      </x:c>
      <x:c r="G45" s="17" t="n">
        <x:v>106046.21860000001</x:v>
      </x:c>
      <x:c r="H45" s="17" t="n">
        <x:f>G45*F45</x:f>
        <x:v>212092.43720000001</x:v>
      </x:c>
      <x:c r="I45" s="22" t="str">
        <x:f>HYPERLINK("https://etp-aktiv.ru/catalog/materialy/podshipniki/2000340899-Y112/","Открыть позицию")</x:f>
        <x:v>Открыть позицию</x:v>
      </x:c>
    </x:row>
    <x:row r="46" ht="28" customHeight="1">
      <x:c r="A46" s="16" t="str">
        <x:v>Новосибирская ТЭЦ-3</x:v>
      </x:c>
      <x:c r="B46" s="16" t="str">
        <x:v>2000340898-Y112</x:v>
      </x:c>
      <x:c r="C46" s="16" t="str">
        <x:v>ПОДШИПНИК HM926740</x:v>
      </x:c>
      <x:c r="D46" s="16" t="str">
        <x:v>Подшипники</x:v>
      </x:c>
      <x:c r="E46" s="16" t="str">
        <x:v>ШТ</x:v>
      </x:c>
      <x:c r="F46" s="21" t="n">
        <x:v>2</x:v>
      </x:c>
      <x:c r="G46" s="17" t="n">
        <x:v>31262.5</x:v>
      </x:c>
      <x:c r="H46" s="17" t="n">
        <x:f>G46*F46</x:f>
        <x:v>62525</x:v>
      </x:c>
      <x:c r="I46" s="22" t="str">
        <x:f>HYPERLINK("https://etp-aktiv.ru/catalog/materialy/podshipniki/2000340898-Y112/","Открыть позицию")</x:f>
        <x:v>Открыть позицию</x:v>
      </x:c>
    </x:row>
    <x:row r="47" ht="28" customHeight="1">
      <x:c r="A47" s="16" t="str">
        <x:v>Новосибирская ТЭЦ-3</x:v>
      </x:c>
      <x:c r="B47" s="16" t="str">
        <x:v>2000291431-Y112</x:v>
      </x:c>
      <x:c r="C47" s="16" t="str">
        <x:v>ЧАШКА ШЛИФОВАЛЬНАЯ 150*50*32 40СМ25А</x:v>
      </x:c>
      <x:c r="D47" s="16" t="str">
        <x:v>Инструмент и спецоснастка</x:v>
      </x:c>
      <x:c r="E47" s="16" t="str">
        <x:v>ШТ</x:v>
      </x:c>
      <x:c r="F47" s="21" t="n">
        <x:v>1</x:v>
      </x:c>
      <x:c r="G47" s="17" t="n">
        <x:v>239.9984</x:v>
      </x:c>
      <x:c r="H47" s="17" t="n">
        <x:f>G47*F47</x:f>
        <x:v>239.9984</x:v>
      </x:c>
      <x:c r="I47" s="22" t="str">
        <x:f>HYPERLINK("https://etp-aktiv.ru/catalog/materialy/instrument-i-specosnastka/2000291431-Y112/","Открыть позицию")</x:f>
        <x:v>Открыть позицию</x:v>
      </x:c>
    </x:row>
    <x:row r="48" ht="28" customHeight="1">
      <x:c r="A48" s="16" t="str">
        <x:v>Новосибирская ТЭЦ-3</x:v>
      </x:c>
      <x:c r="B48" s="16" t="str">
        <x:v>2000138159-Y112</x:v>
      </x:c>
      <x:c r="C48" s="16" t="str">
        <x:v>ШЛИФКРУГ 230*6*22 13АМ</x:v>
      </x:c>
      <x:c r="D48" s="16" t="str">
        <x:v>Инструмент и спецоснастка</x:v>
      </x:c>
      <x:c r="E48" s="16" t="str">
        <x:v>ШТ</x:v>
      </x:c>
      <x:c r="F48" s="21" t="n">
        <x:v>2</x:v>
      </x:c>
      <x:c r="G48" s="17" t="n">
        <x:v>125.782</x:v>
      </x:c>
      <x:c r="H48" s="17" t="n">
        <x:f>G48*F48</x:f>
        <x:v>251.564</x:v>
      </x:c>
      <x:c r="I48" s="22" t="str">
        <x:f>HYPERLINK("https://etp-aktiv.ru/catalog/materialy/instrument-i-specosnastka/2000138159-Y112/","Открыть позицию")</x:f>
        <x:v>Открыть позицию</x:v>
      </x:c>
    </x:row>
    <x:row r="49" ht="28" customHeight="1">
      <x:c r="A49" s="16" t="str">
        <x:v>Новосибирская ТЭЦ-3</x:v>
      </x:c>
      <x:c r="B49" s="16" t="str">
        <x:v>2000046078-Y112</x:v>
      </x:c>
      <x:c r="C49" s="16" t="str">
        <x:v>ШЛИФКРУГ ОБДИРОЧНЫЙ 150*20*32 14А</x:v>
      </x:c>
      <x:c r="D49" s="16" t="str">
        <x:v>Инструмент и спецоснастка</x:v>
      </x:c>
      <x:c r="E49" s="16" t="str">
        <x:v>ШТ</x:v>
      </x:c>
      <x:c r="F49" s="21" t="n">
        <x:v>29</x:v>
      </x:c>
      <x:c r="G49" s="17" t="n">
        <x:v>192.9552</x:v>
      </x:c>
      <x:c r="H49" s="17" t="n">
        <x:f>G49*F49</x:f>
        <x:v>5595.7008</x:v>
      </x:c>
      <x:c r="I49" s="22" t="str">
        <x:f>HYPERLINK("https://etp-aktiv.ru/catalog/materialy/instrument-i-specosnastka/2000046078-Y112/","Открыть позицию")</x:f>
        <x:v>Открыть позицию</x:v>
      </x:c>
    </x:row>
    <x:row r="50" ht="28" customHeight="1">
      <x:c r="A50" s="16" t="str">
        <x:v>Новосибирская ТЭЦ-4</x:v>
      </x:c>
      <x:c r="B50" s="16" t="str">
        <x:v>2000526245-Y113</x:v>
      </x:c>
      <x:c r="C50" s="16" t="str">
        <x:v>БЛОК ОХЛАЖДЕНИЯ 2ВМ4-27/9 067344.001</x:v>
      </x:c>
      <x:c r="D50" s="16" t="str">
        <x:v>Запасные части к компрессорам</x:v>
      </x:c>
      <x:c r="E50" s="16" t="str">
        <x:v>ШТ</x:v>
      </x:c>
      <x:c r="F50" s="21" t="n">
        <x:v>4</x:v>
      </x:c>
      <x:c r="G50" s="17" t="n">
        <x:v>40.6626</x:v>
      </x:c>
      <x:c r="H50" s="17" t="n">
        <x:f>G50*F50</x:f>
        <x:v>162.6504</x:v>
      </x:c>
      <x:c r="I50" s="22" t="str">
        <x:f>HYPERLINK("https://etp-aktiv.ru/catalog/materialy/zapasnye-chasti-promyshlennogo-oborudovaniya/2000526245-Y113/","Открыть позицию")</x:f>
        <x:v>Открыть позицию</x:v>
      </x:c>
    </x:row>
    <x:row r="51" ht="28" customHeight="1">
      <x:c r="A51" s="16" t="str">
        <x:v>Новосибирская ТЭЦ-4</x:v>
      </x:c>
      <x:c r="B51" s="16" t="str">
        <x:v>M2000526262-Y113</x:v>
      </x:c>
      <x:c r="C51" s="16" t="str">
        <x:v>ГИЛЬЗА ВШ-4,2/200 391.169.01.031 IV СТ</x:v>
      </x:c>
      <x:c r="D51" s="16" t="str">
        <x:v>Запасные части к компрессорам</x:v>
      </x:c>
      <x:c r="E51" s="16" t="str">
        <x:v>ШТ</x:v>
      </x:c>
      <x:c r="F51" s="21" t="n">
        <x:v>2</x:v>
      </x:c>
      <x:c r="G51" s="17" t="n">
        <x:v>3.66</x:v>
      </x:c>
      <x:c r="H51" s="17" t="n">
        <x:f>G51*F51</x:f>
        <x:v>7.32</x:v>
      </x:c>
      <x:c r="I51" s="22" t="str">
        <x:f>HYPERLINK("https://etp-aktiv.ru/catalog/materialy/zapasnye-chasti-promyshlennogo-oborudovaniya/M2000526262-Y113/","Открыть позицию")</x:f>
        <x:v>Открыть позицию</x:v>
      </x:c>
    </x:row>
    <x:row r="52" ht="28" customHeight="1">
      <x:c r="A52" s="16" t="str">
        <x:v>Новосибирская ТЭЦ-4</x:v>
      </x:c>
      <x:c r="B52" s="16" t="str">
        <x:v>M2000526373-Y113</x:v>
      </x:c>
      <x:c r="C52" s="16" t="str">
        <x:v>ПАЛЕЦ МУФТЫ ВШ-3/40 304-127-1-2</x:v>
      </x:c>
      <x:c r="D52" s="16" t="str">
        <x:v>Запасные части к компрессорам</x:v>
      </x:c>
      <x:c r="E52" s="16" t="str">
        <x:v>ШТ</x:v>
      </x:c>
      <x:c r="F52" s="21" t="n">
        <x:v>40</x:v>
      </x:c>
      <x:c r="G52" s="17" t="n">
        <x:v>5.49</x:v>
      </x:c>
      <x:c r="H52" s="17" t="n">
        <x:f>G52*F52</x:f>
        <x:v>219.60000000000002</x:v>
      </x:c>
      <x:c r="I52" s="22" t="str">
        <x:f>HYPERLINK("https://etp-aktiv.ru/catalog/materialy/zapasnye-chasti-promyshlennogo-oborudovaniya/M2000526373-Y113/","Открыть позицию")</x:f>
        <x:v>Открыть позицию</x:v>
      </x:c>
    </x:row>
    <x:row r="53" ht="28" customHeight="1">
      <x:c r="A53" s="16" t="str">
        <x:v>Новосибирская ТЭЦ-5</x:v>
      </x:c>
      <x:c r="B53" s="16" t="str">
        <x:v>2000544228-Y114</x:v>
      </x:c>
      <x:c r="C53" s="16" t="str">
        <x:v>БРУСОК ШЛИФОВАЛЬНЫЙ 20*20*150 25А 90</x:v>
      </x:c>
      <x:c r="D53" s="16" t="str">
        <x:v>Инструмент и спецоснастка</x:v>
      </x:c>
      <x:c r="E53" s="16" t="str">
        <x:v>ШТ</x:v>
      </x:c>
      <x:c r="F53" s="21" t="n">
        <x:v>21</x:v>
      </x:c>
      <x:c r="G53" s="17" t="n">
        <x:v>106.70119999999999</x:v>
      </x:c>
      <x:c r="H53" s="17" t="n">
        <x:f>G53*F53</x:f>
        <x:v>2240.7252</x:v>
      </x:c>
      <x:c r="I53" s="22" t="str">
        <x:f>HYPERLINK("https://etp-aktiv.ru/catalog/materialy/instrument-i-specosnastka/2000544228-Y114/","Открыть позицию")</x:f>
        <x:v>Открыть позицию</x:v>
      </x:c>
    </x:row>
    <x:row r="54" ht="28" customHeight="1">
      <x:c r="A54" s="16" t="str">
        <x:v>Новосибирская ТЭЦ-5</x:v>
      </x:c>
      <x:c r="B54" s="16" t="str">
        <x:v>2000533432-Y114</x:v>
      </x:c>
      <x:c r="C54" s="16" t="str">
        <x:v>ВАЛ 27.32.076 НАСОСА КС-50-55</x:v>
      </x:c>
      <x:c r="D54" s="16" t="str">
        <x:v>Запасные части к энергетическим насосам</x:v>
      </x:c>
      <x:c r="E54" s="16" t="str">
        <x:v>ШТ</x:v>
      </x:c>
      <x:c r="F54" s="21" t="n">
        <x:v>3</x:v>
      </x:c>
      <x:c r="G54" s="17" t="n">
        <x:v>1281</x:v>
      </x:c>
      <x:c r="H54" s="17" t="n">
        <x:f>G54*F54</x:f>
        <x:v>3843</x:v>
      </x:c>
      <x:c r="I54" s="22" t="str">
        <x:f>HYPERLINK("https://etp-aktiv.ru/catalog/materialy/zapasnye-chasti-promyshlennogo-oborudovaniya/2000533432-Y114/","Открыть позицию")</x:f>
        <x:v>Открыть позицию</x:v>
      </x:c>
    </x:row>
    <x:row r="55" ht="28" customHeight="1">
      <x:c r="A55" s="16" t="str">
        <x:v>Новосибирская ТЭЦ-5</x:v>
      </x:c>
      <x:c r="B55" s="16" t="str">
        <x:v>2000533436-Y114</x:v>
      </x:c>
      <x:c r="C55" s="16" t="str">
        <x:v>ВАЛ 7.00.16.001 НАСОСА 5Н-5*4</x:v>
      </x:c>
      <x:c r="D55" s="16" t="str">
        <x:v>Запасные части к энергетическим насосам</x:v>
      </x:c>
      <x:c r="E55" s="16" t="str">
        <x:v>ШТ</x:v>
      </x:c>
      <x:c r="F55" s="21" t="n">
        <x:v>1</x:v>
      </x:c>
      <x:c r="G55" s="17" t="n">
        <x:v>183</x:v>
      </x:c>
      <x:c r="H55" s="17" t="n">
        <x:f>G55*F55</x:f>
        <x:v>183</x:v>
      </x:c>
      <x:c r="I55" s="22" t="str">
        <x:f>HYPERLINK("https://etp-aktiv.ru/catalog/materialy/zapasnye-chasti-promyshlennogo-oborudovaniya/2000533436-Y114/","Открыть позицию")</x:f>
        <x:v>Открыть позицию</x:v>
      </x:c>
    </x:row>
    <x:row r="56" ht="28" customHeight="1">
      <x:c r="A56" s="16" t="str">
        <x:v>Новосибирская ТЭЦ-5</x:v>
      </x:c>
      <x:c r="B56" s="16" t="str">
        <x:v>2000570829-Y114</x:v>
      </x:c>
      <x:c r="C56" s="16" t="str">
        <x:v>ВАЛ ОРЦ.26.022</x:v>
      </x:c>
      <x:c r="D56" s="16" t="str">
        <x:v>Запасные части к гидравлическим насосам</x:v>
      </x:c>
      <x:c r="E56" s="16" t="str">
        <x:v>ШТ</x:v>
      </x:c>
      <x:c r="F56" s="21" t="n">
        <x:v>1</x:v>
      </x:c>
      <x:c r="G56" s="17" t="n">
        <x:v>1098</x:v>
      </x:c>
      <x:c r="H56" s="17" t="n">
        <x:f>G56*F56</x:f>
        <x:v>1098</x:v>
      </x:c>
      <x:c r="I56" s="22" t="str">
        <x:f>HYPERLINK("https://etp-aktiv.ru/catalog/materialy/nasosno-kompressornoe-oborudovanie/2000570829-Y114/","Открыть позицию")</x:f>
        <x:v>Открыть позицию</x:v>
      </x:c>
    </x:row>
    <x:row r="57" ht="28" customHeight="1">
      <x:c r="A57" s="16" t="str">
        <x:v>Новосибирская ТЭЦ-5</x:v>
      </x:c>
      <x:c r="B57" s="16" t="str">
        <x:v>2000609958-Y114</x:v>
      </x:c>
      <x:c r="C57" s="16" t="str">
        <x:v>ВТУЛКА ЗАЩИТНАЯ Д200-36 7.00.177.00</x:v>
      </x:c>
      <x:c r="D57" s="16" t="str">
        <x:v>Запасные части к энергетическим насосам</x:v>
      </x:c>
      <x:c r="E57" s="16" t="str">
        <x:v>ШТ</x:v>
      </x:c>
      <x:c r="F57" s="21" t="n">
        <x:v>4</x:v>
      </x:c>
      <x:c r="G57" s="17" t="n">
        <x:v>12.81</x:v>
      </x:c>
      <x:c r="H57" s="17" t="n">
        <x:f>G57*F57</x:f>
        <x:v>51.24</x:v>
      </x:c>
      <x:c r="I57" s="22" t="str">
        <x:f>HYPERLINK("https://etp-aktiv.ru/catalog/materialy/zapasnye-chasti-promyshlennogo-oborudovaniya/2000609958-Y114/","Открыть позицию")</x:f>
        <x:v>Открыть позицию</x:v>
      </x:c>
    </x:row>
    <x:row r="58" ht="28" customHeight="1">
      <x:c r="A58" s="16" t="str">
        <x:v>Новосибирская ТЭЦ-5</x:v>
      </x:c>
      <x:c r="B58" s="16" t="str">
        <x:v>2000533565-Y114</x:v>
      </x:c>
      <x:c r="C58" s="16" t="str">
        <x:v>ВТУЛКА ЗАЩИТНАЯ ОРЦ.26.068 5Н-5*4</x:v>
      </x:c>
      <x:c r="D58" s="16" t="str">
        <x:v>Запасные части к энергетическим насосам</x:v>
      </x:c>
      <x:c r="E58" s="16" t="str">
        <x:v>ШТ</x:v>
      </x:c>
      <x:c r="F58" s="21" t="n">
        <x:v>1</x:v>
      </x:c>
      <x:c r="G58" s="17" t="n">
        <x:v>14.64</x:v>
      </x:c>
      <x:c r="H58" s="17" t="n">
        <x:f>G58*F58</x:f>
        <x:v>14.64</x:v>
      </x:c>
      <x:c r="I58" s="22" t="str">
        <x:f>HYPERLINK("https://etp-aktiv.ru/catalog/materialy/zapasnye-chasti-promyshlennogo-oborudovaniya/2000533565-Y114/","Открыть позицию")</x:f>
        <x:v>Открыть позицию</x:v>
      </x:c>
    </x:row>
    <x:row r="59" ht="28" customHeight="1">
      <x:c r="A59" s="16" t="str">
        <x:v>Новосибирская ТЭЦ-5</x:v>
      </x:c>
      <x:c r="B59" s="16" t="str">
        <x:v>2000575242-Y114</x:v>
      </x:c>
      <x:c r="C59" s="16" t="str">
        <x:v>ВТУЛКА КОНУСНАЯ 7.00.21.001 НАС Д800-57</x:v>
      </x:c>
      <x:c r="D59" s="16" t="str">
        <x:v>Запасные части к энергетическим насосам</x:v>
      </x:c>
      <x:c r="E59" s="16" t="str">
        <x:v>ШТ</x:v>
      </x:c>
      <x:c r="F59" s="21" t="n">
        <x:v>2</x:v>
      </x:c>
      <x:c r="G59" s="17" t="n">
        <x:v>274.5</x:v>
      </x:c>
      <x:c r="H59" s="17" t="n">
        <x:f>G59*F59</x:f>
        <x:v>549</x:v>
      </x:c>
      <x:c r="I59" s="22" t="str">
        <x:f>HYPERLINK("https://etp-aktiv.ru/catalog/materialy/zapasnye-chasti-promyshlennogo-oborudovaniya/2000575242-Y114/","Открыть позицию")</x:f>
        <x:v>Открыть позицию</x:v>
      </x:c>
    </x:row>
    <x:row r="60" ht="28" customHeight="1">
      <x:c r="A60" s="16" t="str">
        <x:v>Новосибирская ТЭЦ-5</x:v>
      </x:c>
      <x:c r="B60" s="16" t="str">
        <x:v>2000533631-Y114</x:v>
      </x:c>
      <x:c r="C60" s="16" t="str">
        <x:v>ВТУЛКА ЛЕВАЯ ОРЦ.26.049 НАСОСА 5Н-5*4</x:v>
      </x:c>
      <x:c r="D60" s="16" t="str">
        <x:v>Запасные части к энергетическим насосам</x:v>
      </x:c>
      <x:c r="E60" s="16" t="str">
        <x:v>ШТ</x:v>
      </x:c>
      <x:c r="F60" s="21" t="n">
        <x:v>2</x:v>
      </x:c>
      <x:c r="G60" s="17" t="n">
        <x:v>14.64</x:v>
      </x:c>
      <x:c r="H60" s="17" t="n">
        <x:f>G60*F60</x:f>
        <x:v>29.28</x:v>
      </x:c>
      <x:c r="I60" s="22" t="str">
        <x:f>HYPERLINK("https://etp-aktiv.ru/catalog/materialy/zapasnye-chasti-promyshlennogo-oborudovaniya/2000533631-Y114/","Открыть позицию")</x:f>
        <x:v>Открыть позицию</x:v>
      </x:c>
    </x:row>
    <x:row r="61" ht="28" customHeight="1">
      <x:c r="A61" s="16" t="str">
        <x:v>Новосибирская ТЭЦ-5</x:v>
      </x:c>
      <x:c r="B61" s="16" t="str">
        <x:v>2000533585-Y114</x:v>
      </x:c>
      <x:c r="C61" s="16" t="str">
        <x:v>ВТУЛКА Н18.112.20.06 НАСОСА КС 80-155-2</x:v>
      </x:c>
      <x:c r="D61" s="16" t="str">
        <x:v>Запасные части к энергетическим насосам</x:v>
      </x:c>
      <x:c r="E61" s="16" t="str">
        <x:v>ШТ</x:v>
      </x:c>
      <x:c r="F61" s="21" t="n">
        <x:v>1</x:v>
      </x:c>
      <x:c r="G61" s="17" t="n">
        <x:v>14.64</x:v>
      </x:c>
      <x:c r="H61" s="17" t="n">
        <x:f>G61*F61</x:f>
        <x:v>14.64</x:v>
      </x:c>
      <x:c r="I61" s="22" t="str">
        <x:f>HYPERLINK("https://etp-aktiv.ru/catalog/materialy/zapasnye-chasti-promyshlennogo-oborudovaniya/2000533585-Y114/","Открыть позицию")</x:f>
        <x:v>Открыть позицию</x:v>
      </x:c>
    </x:row>
    <x:row r="62" ht="28" customHeight="1">
      <x:c r="A62" s="16" t="str">
        <x:v>Новосибирская ТЭЦ-5</x:v>
      </x:c>
      <x:c r="B62" s="16" t="str">
        <x:v>2000533586-Y114</x:v>
      </x:c>
      <x:c r="C62" s="16" t="str">
        <x:v>ВТУЛКА Н18.112.20.21 НАСОСА КС 80-155-2</x:v>
      </x:c>
      <x:c r="D62" s="16" t="str">
        <x:v>Запасные части к энергетическим насосам</x:v>
      </x:c>
      <x:c r="E62" s="16" t="str">
        <x:v>ШТ</x:v>
      </x:c>
      <x:c r="F62" s="21" t="n">
        <x:v>2</x:v>
      </x:c>
      <x:c r="G62" s="17" t="n">
        <x:v>18.3</x:v>
      </x:c>
      <x:c r="H62" s="17" t="n">
        <x:f>G62*F62</x:f>
        <x:v>36.6</x:v>
      </x:c>
      <x:c r="I62" s="22" t="str">
        <x:f>HYPERLINK("https://etp-aktiv.ru/catalog/materialy/zapasnye-chasti-promyshlennogo-oborudovaniya/2000533586-Y114/","Открыть позицию")</x:f>
        <x:v>Открыть позицию</x:v>
      </x:c>
    </x:row>
    <x:row r="63" ht="28" customHeight="1">
      <x:c r="A63" s="16" t="str">
        <x:v>Новосибирская ТЭЦ-5</x:v>
      </x:c>
      <x:c r="B63" s="16" t="str">
        <x:v>2000533615-Y114</x:v>
      </x:c>
      <x:c r="C63" s="16" t="str">
        <x:v>ВТУЛКА НАПР ЦЦР.0.106.01 Д320-70</x:v>
      </x:c>
      <x:c r="D63" s="16" t="str">
        <x:v>Запасные части к энергетическим насосам</x:v>
      </x:c>
      <x:c r="E63" s="16" t="str">
        <x:v>ШТ</x:v>
      </x:c>
      <x:c r="F63" s="21" t="n">
        <x:v>4</x:v>
      </x:c>
      <x:c r="G63" s="17" t="n">
        <x:v>1119.1548</x:v>
      </x:c>
      <x:c r="H63" s="17" t="n">
        <x:f>G63*F63</x:f>
        <x:v>4476.6192</x:v>
      </x:c>
      <x:c r="I63" s="22" t="str">
        <x:f>HYPERLINK("https://etp-aktiv.ru/catalog/materialy/zapasnye-chasti-promyshlennogo-oborudovaniya/2000533615-Y114/","Открыть позицию")</x:f>
        <x:v>Открыть позицию</x:v>
      </x:c>
    </x:row>
    <x:row r="64" ht="28" customHeight="1">
      <x:c r="A64" s="16" t="str">
        <x:v>Новосибирская ТЭЦ-5</x:v>
      </x:c>
      <x:c r="B64" s="16" t="str">
        <x:v>2000533616-Y114</x:v>
      </x:c>
      <x:c r="C64" s="16" t="str">
        <x:v>ВТУЛКА НЕПОДВИЖНАЯ 27.26.01 5Н-5*4</x:v>
      </x:c>
      <x:c r="D64" s="16" t="str">
        <x:v>Запасные части к энергетическим насосам</x:v>
      </x:c>
      <x:c r="E64" s="16" t="str">
        <x:v>ШТ</x:v>
      </x:c>
      <x:c r="F64" s="21" t="n">
        <x:v>2</x:v>
      </x:c>
      <x:c r="G64" s="17" t="n">
        <x:v>18.3</x:v>
      </x:c>
      <x:c r="H64" s="17" t="n">
        <x:f>G64*F64</x:f>
        <x:v>36.6</x:v>
      </x:c>
      <x:c r="I64" s="22" t="str">
        <x:f>HYPERLINK("https://etp-aktiv.ru/catalog/materialy/zapasnye-chasti-promyshlennogo-oborudovaniya/2000533616-Y114/","Открыть позицию")</x:f>
        <x:v>Открыть позицию</x:v>
      </x:c>
    </x:row>
    <x:row r="65" ht="28" customHeight="1">
      <x:c r="A65" s="16" t="str">
        <x:v>Новосибирская ТЭЦ-5</x:v>
      </x:c>
      <x:c r="B65" s="16" t="str">
        <x:v>2000533617-Y114</x:v>
      </x:c>
      <x:c r="C65" s="16" t="str">
        <x:v>ВТУЛКА НЕПОДВИЖНАЯ 27.26.013.05 6НК5-4</x:v>
      </x:c>
      <x:c r="D65" s="16" t="str">
        <x:v>Запасные части к энергетическим насосам</x:v>
      </x:c>
      <x:c r="E65" s="16" t="str">
        <x:v>ШТ</x:v>
      </x:c>
      <x:c r="F65" s="21" t="n">
        <x:v>11</x:v>
      </x:c>
      <x:c r="G65" s="17" t="n">
        <x:v>18.3</x:v>
      </x:c>
      <x:c r="H65" s="17" t="n">
        <x:f>G65*F65</x:f>
        <x:v>201.3</x:v>
      </x:c>
      <x:c r="I65" s="22" t="str">
        <x:f>HYPERLINK("https://etp-aktiv.ru/catalog/materialy/zapasnye-chasti-promyshlennogo-oborudovaniya/2000533617-Y114/","Открыть позицию")</x:f>
        <x:v>Открыть позицию</x:v>
      </x:c>
    </x:row>
    <x:row r="66" ht="28" customHeight="1">
      <x:c r="A66" s="16" t="str">
        <x:v>Новосибирская ТЭЦ-5</x:v>
      </x:c>
      <x:c r="B66" s="16" t="str">
        <x:v>2000533620-Y114</x:v>
      </x:c>
      <x:c r="C66" s="16" t="str">
        <x:v>ВТУЛКА ПОДСАЛЬНИКОВАЯ 27.32.077 КС-50-55</x:v>
      </x:c>
      <x:c r="D66" s="16" t="str">
        <x:v>Запасные части к энергетическим насосам</x:v>
      </x:c>
      <x:c r="E66" s="16" t="str">
        <x:v>ШТ</x:v>
      </x:c>
      <x:c r="F66" s="21" t="n">
        <x:v>8</x:v>
      </x:c>
      <x:c r="G66" s="17" t="n">
        <x:v>18.3</x:v>
      </x:c>
      <x:c r="H66" s="17" t="n">
        <x:f>G66*F66</x:f>
        <x:v>146.4</x:v>
      </x:c>
      <x:c r="I66" s="22" t="str">
        <x:f>HYPERLINK("https://etp-aktiv.ru/catalog/materialy/zapasnye-chasti-promyshlennogo-oborudovaniya/2000533620-Y114/","Открыть позицию")</x:f>
        <x:v>Открыть позицию</x:v>
      </x:c>
    </x:row>
    <x:row r="67" ht="28" customHeight="1">
      <x:c r="A67" s="16" t="str">
        <x:v>Новосибирская ТЭЦ-5</x:v>
      </x:c>
      <x:c r="B67" s="16" t="str">
        <x:v>2000533633-Y114</x:v>
      </x:c>
      <x:c r="C67" s="16" t="str">
        <x:v>ВТУЛКА ПРАВАЯ ОРЦ.26.048 НАСОСА 5Н-5*4</x:v>
      </x:c>
      <x:c r="D67" s="16" t="str">
        <x:v>Запасные части к энергетическим насосам</x:v>
      </x:c>
      <x:c r="E67" s="16" t="str">
        <x:v>ШТ</x:v>
      </x:c>
      <x:c r="F67" s="21" t="n">
        <x:v>2</x:v>
      </x:c>
      <x:c r="G67" s="17" t="n">
        <x:v>9.15</x:v>
      </x:c>
      <x:c r="H67" s="17" t="n">
        <x:f>G67*F67</x:f>
        <x:v>18.3</x:v>
      </x:c>
      <x:c r="I67" s="22" t="str">
        <x:f>HYPERLINK("https://etp-aktiv.ru/catalog/materialy/zapasnye-chasti-promyshlennogo-oborudovaniya/2000533633-Y114/","Открыть позицию")</x:f>
        <x:v>Открыть позицию</x:v>
      </x:c>
    </x:row>
    <x:row r="68" ht="28" customHeight="1">
      <x:c r="A68" s="16" t="str">
        <x:v>Новосибирская ТЭЦ-5</x:v>
      </x:c>
      <x:c r="B68" s="16" t="str">
        <x:v>2000533624-Y114</x:v>
      </x:c>
      <x:c r="C68" s="16" t="str">
        <x:v>ВТУЛКА ПРИЖИМНАЯ ОРЦ.26.018.06 5Н-5*4</x:v>
      </x:c>
      <x:c r="D68" s="16" t="str">
        <x:v>Запасные части к энергетическим насосам</x:v>
      </x:c>
      <x:c r="E68" s="16" t="str">
        <x:v>ШТ</x:v>
      </x:c>
      <x:c r="F68" s="21" t="n">
        <x:v>3</x:v>
      </x:c>
      <x:c r="G68" s="17" t="n">
        <x:v>18.3</x:v>
      </x:c>
      <x:c r="H68" s="17" t="n">
        <x:f>G68*F68</x:f>
        <x:v>54.900000000000006</x:v>
      </x:c>
      <x:c r="I68" s="22" t="str">
        <x:f>HYPERLINK("https://etp-aktiv.ru/catalog/materialy/zapasnye-chasti-promyshlennogo-oborudovaniya/2000533624-Y114/","Открыть позицию")</x:f>
        <x:v>Открыть позицию</x:v>
      </x:c>
    </x:row>
    <x:row r="69" ht="28" customHeight="1">
      <x:c r="A69" s="16" t="str">
        <x:v>Новосибирская ТЭЦ-5</x:v>
      </x:c>
      <x:c r="B69" s="16" t="str">
        <x:v>2000559910-Y114</x:v>
      </x:c>
      <x:c r="C69" s="16" t="str">
        <x:v>ВТУЛКА СТОПОРНАЯ ОРЦ.25.103 МПО-2</x:v>
      </x:c>
      <x:c r="D69" s="16" t="str">
        <x:v>Детали редукторов, муфт и элементов муфт</x:v>
      </x:c>
      <x:c r="E69" s="16" t="str">
        <x:v>ШТ</x:v>
      </x:c>
      <x:c r="F69" s="21" t="n">
        <x:v>20</x:v>
      </x:c>
      <x:c r="G69" s="17" t="n">
        <x:v>36.6</x:v>
      </x:c>
      <x:c r="H69" s="17" t="n">
        <x:f>G69*F69</x:f>
        <x:v>732</x:v>
      </x:c>
      <x:c r="I69" s="22" t="str">
        <x:f>HYPERLINK("https://etp-aktiv.ru/catalog/materialy/reduktory/2000559910-Y114/","Открыть позицию")</x:f>
        <x:v>Открыть позицию</x:v>
      </x:c>
    </x:row>
    <x:row r="70" ht="28" customHeight="1">
      <x:c r="A70" s="16" t="str">
        <x:v>Новосибирская ТЭЦ-5</x:v>
      </x:c>
      <x:c r="B70" s="16" t="str">
        <x:v>2000581746-Y114</x:v>
      </x:c>
      <x:c r="C70" s="16" t="str">
        <x:v>ВТУЛКА Т-19832-09 МУФТЫ УПРУГОЙ</x:v>
      </x:c>
      <x:c r="D70" s="16" t="str">
        <x:v>Детали редукторов, муфт и элементов муфт</x:v>
      </x:c>
      <x:c r="E70" s="16" t="str">
        <x:v>ШТ</x:v>
      </x:c>
      <x:c r="F70" s="21" t="n">
        <x:v>60</x:v>
      </x:c>
      <x:c r="G70" s="17" t="n">
        <x:v>5.49</x:v>
      </x:c>
      <x:c r="H70" s="17" t="n">
        <x:f>G70*F70</x:f>
        <x:v>329.40000000000003</x:v>
      </x:c>
      <x:c r="I70" s="22" t="str">
        <x:f>HYPERLINK("https://etp-aktiv.ru/catalog/materialy/reduktory/2000581746-Y114/","Открыть позицию")</x:f>
        <x:v>Открыть позицию</x:v>
      </x:c>
    </x:row>
    <x:row r="71" ht="28" customHeight="1">
      <x:c r="A71" s="16" t="str">
        <x:v>Новосибирская ТЭЦ-5</x:v>
      </x:c>
      <x:c r="B71" s="16" t="str">
        <x:v>2000533649-Y114</x:v>
      </x:c>
      <x:c r="C71" s="16" t="str">
        <x:v>ВТУЛКА УПЛ НЕПОДВИЖ ОРЦ.26.018.03 5Н-5*4</x:v>
      </x:c>
      <x:c r="D71" s="16" t="str">
        <x:v>Запасные части к энергетическим насосам</x:v>
      </x:c>
      <x:c r="E71" s="16" t="str">
        <x:v>ШТ</x:v>
      </x:c>
      <x:c r="F71" s="21" t="n">
        <x:v>2</x:v>
      </x:c>
      <x:c r="G71" s="17" t="n">
        <x:v>9.15</x:v>
      </x:c>
      <x:c r="H71" s="17" t="n">
        <x:f>G71*F71</x:f>
        <x:v>18.3</x:v>
      </x:c>
      <x:c r="I71" s="22" t="str">
        <x:f>HYPERLINK("https://etp-aktiv.ru/catalog/materialy/zapasnye-chasti-promyshlennogo-oborudovaniya/2000533649-Y114/","Открыть позицию")</x:f>
        <x:v>Открыть позицию</x:v>
      </x:c>
    </x:row>
    <x:row r="72" ht="28" customHeight="1">
      <x:c r="A72" s="16" t="str">
        <x:v>Новосибирская ТЭЦ-5</x:v>
      </x:c>
      <x:c r="B72" s="16" t="str">
        <x:v>2000533650-Y114</x:v>
      </x:c>
      <x:c r="C72" s="16" t="str">
        <x:v>ВТУЛКА УПЛОТ ОРЦ.26.018.01 НАСОСА 5Н-5*4</x:v>
      </x:c>
      <x:c r="D72" s="16" t="str">
        <x:v>Запасные части к энергетическим насосам</x:v>
      </x:c>
      <x:c r="E72" s="16" t="str">
        <x:v>ШТ</x:v>
      </x:c>
      <x:c r="F72" s="21" t="n">
        <x:v>2</x:v>
      </x:c>
      <x:c r="G72" s="17" t="n">
        <x:v>491.05</x:v>
      </x:c>
      <x:c r="H72" s="17" t="n">
        <x:f>G72*F72</x:f>
        <x:v>982.1</x:v>
      </x:c>
      <x:c r="I72" s="22" t="str">
        <x:f>HYPERLINK("https://etp-aktiv.ru/catalog/materialy/zapasnye-chasti-promyshlennogo-oborudovaniya/2000533650-Y114/","Открыть позицию")</x:f>
        <x:v>Открыть позицию</x:v>
      </x:c>
    </x:row>
    <x:row r="73" ht="28" customHeight="1">
      <x:c r="A73" s="16" t="str">
        <x:v>Новосибирская ТЭЦ-5</x:v>
      </x:c>
      <x:c r="B73" s="16" t="str">
        <x:v>2000533735-Y114</x:v>
      </x:c>
      <x:c r="C73" s="16" t="str">
        <x:v>ГАЙКА 20847 НАСОСА 4Н-5*4</x:v>
      </x:c>
      <x:c r="D73" s="16" t="str">
        <x:v>Запасные части к энергетическим насосам</x:v>
      </x:c>
      <x:c r="E73" s="16" t="str">
        <x:v>ШТ</x:v>
      </x:c>
      <x:c r="F73" s="21" t="n">
        <x:v>2</x:v>
      </x:c>
      <x:c r="G73" s="17" t="n">
        <x:v>3.66</x:v>
      </x:c>
      <x:c r="H73" s="17" t="n">
        <x:f>G73*F73</x:f>
        <x:v>7.32</x:v>
      </x:c>
      <x:c r="I73" s="22" t="str">
        <x:f>HYPERLINK("https://etp-aktiv.ru/catalog/materialy/zapasnye-chasti-promyshlennogo-oborudovaniya/2000533735-Y114/","Открыть позицию")</x:f>
        <x:v>Открыть позицию</x:v>
      </x:c>
    </x:row>
    <x:row r="74" ht="28" customHeight="1">
      <x:c r="A74" s="16" t="str">
        <x:v>Новосибирская ТЭЦ-5</x:v>
      </x:c>
      <x:c r="B74" s="16" t="str">
        <x:v>2000533736-Y114</x:v>
      </x:c>
      <x:c r="C74" s="16" t="str">
        <x:v>ГАЙКА 7.00.15.002 НАСОСА 5Н-5*4</x:v>
      </x:c>
      <x:c r="D74" s="16" t="str">
        <x:v>Запасные части к энергетическим насосам</x:v>
      </x:c>
      <x:c r="E74" s="16" t="str">
        <x:v>ШТ</x:v>
      </x:c>
      <x:c r="F74" s="21" t="n">
        <x:v>4</x:v>
      </x:c>
      <x:c r="G74" s="17" t="n">
        <x:v>5.49</x:v>
      </x:c>
      <x:c r="H74" s="17" t="n">
        <x:f>G74*F74</x:f>
        <x:v>21.96</x:v>
      </x:c>
      <x:c r="I74" s="22" t="str">
        <x:f>HYPERLINK("https://etp-aktiv.ru/catalog/materialy/zapasnye-chasti-promyshlennogo-oborudovaniya/2000533736-Y114/","Открыть позицию")</x:f>
        <x:v>Открыть позицию</x:v>
      </x:c>
    </x:row>
    <x:row r="75" ht="28" customHeight="1">
      <x:c r="A75" s="16" t="str">
        <x:v>Новосибирская ТЭЦ-5</x:v>
      </x:c>
      <x:c r="B75" s="16" t="str">
        <x:v>2000534040-Y114</x:v>
      </x:c>
      <x:c r="C75" s="16" t="str">
        <x:v>КОЛЬЦО МАСЛООТБОЙНОЕ 7.00.188.00 КСВ</x:v>
      </x:c>
      <x:c r="D75" s="16" t="str">
        <x:v>Запасные части к энергетическим насосам</x:v>
      </x:c>
      <x:c r="E75" s="16" t="str">
        <x:v>ШТ</x:v>
      </x:c>
      <x:c r="F75" s="21" t="n">
        <x:v>6</x:v>
      </x:c>
      <x:c r="G75" s="17" t="n">
        <x:v>1439.6</x:v>
      </x:c>
      <x:c r="H75" s="17" t="n">
        <x:f>G75*F75</x:f>
        <x:v>8637.599999999999</x:v>
      </x:c>
      <x:c r="I75" s="22" t="str">
        <x:f>HYPERLINK("https://etp-aktiv.ru/catalog/materialy/zapasnye-chasti-promyshlennogo-oborudovaniya/2000534040-Y114/","Открыть позицию")</x:f>
        <x:v>Открыть позицию</x:v>
      </x:c>
    </x:row>
    <x:row r="76" ht="28" customHeight="1">
      <x:c r="A76" s="16" t="str">
        <x:v>Новосибирская ТЭЦ-5</x:v>
      </x:c>
      <x:c r="B76" s="16" t="str">
        <x:v>2000693046-Y114</x:v>
      </x:c>
      <x:c r="C76" s="16" t="str">
        <x:v>КОЛЬЦО УПЛОТ Д 320-50 КТЦ 0.212.03</x:v>
      </x:c>
      <x:c r="D76" s="16" t="str">
        <x:v>Запасные части к энергетическим насосам</x:v>
      </x:c>
      <x:c r="E76" s="16" t="str">
        <x:v>ШТ</x:v>
      </x:c>
      <x:c r="F76" s="21" t="n">
        <x:v>2</x:v>
      </x:c>
      <x:c r="G76" s="17" t="n">
        <x:v>274.5</x:v>
      </x:c>
      <x:c r="H76" s="17" t="n">
        <x:f>G76*F76</x:f>
        <x:v>549</x:v>
      </x:c>
      <x:c r="I76" s="22" t="str">
        <x:f>HYPERLINK("https://etp-aktiv.ru/catalog/materialy/zapasnye-chasti-promyshlennogo-oborudovaniya/2000693046-Y114/","Открыть позицию")</x:f>
        <x:v>Открыть позицию</x:v>
      </x:c>
    </x:row>
    <x:row r="77" ht="28" customHeight="1">
      <x:c r="A77" s="16" t="str">
        <x:v>Новосибирская ТЭЦ-5</x:v>
      </x:c>
      <x:c r="B77" s="16" t="str">
        <x:v>2000534212-Y114</x:v>
      </x:c>
      <x:c r="C77" s="16" t="str">
        <x:v>КОЛЬЦО УПЛОТНИТЕЛЬНОЕ ЦЦР.0.184.01</x:v>
      </x:c>
      <x:c r="D77" s="16" t="str">
        <x:v>Запасные части к энергетическим насосам</x:v>
      </x:c>
      <x:c r="E77" s="16" t="str">
        <x:v>ШТ</x:v>
      </x:c>
      <x:c r="F77" s="21" t="n">
        <x:v>4</x:v>
      </x:c>
      <x:c r="G77" s="17" t="n">
        <x:v>18.3</x:v>
      </x:c>
      <x:c r="H77" s="17" t="n">
        <x:f>G77*F77</x:f>
        <x:v>73.2</x:v>
      </x:c>
      <x:c r="I77" s="22" t="str">
        <x:f>HYPERLINK("https://etp-aktiv.ru/catalog/materialy/zapasnye-chasti-promyshlennogo-oborudovaniya/2000534212-Y114/","Открыть позицию")</x:f>
        <x:v>Открыть позицию</x:v>
      </x:c>
    </x:row>
    <x:row r="78" ht="28" customHeight="1">
      <x:c r="A78" s="16" t="str">
        <x:v>Новосибирская ТЭЦ-5</x:v>
      </x:c>
      <x:c r="B78" s="16" t="str">
        <x:v>2000116329-Y114</x:v>
      </x:c>
      <x:c r="C78" s="16" t="str">
        <x:v>ПОДШИПНИК 108</x:v>
      </x:c>
      <x:c r="D78" s="16" t="str">
        <x:v>Подшипники</x:v>
      </x:c>
      <x:c r="E78" s="16" t="str">
        <x:v>ШТ</x:v>
      </x:c>
      <x:c r="F78" s="21" t="n">
        <x:v>4</x:v>
      </x:c>
      <x:c r="G78" s="17" t="n">
        <x:v>195.0048</x:v>
      </x:c>
      <x:c r="H78" s="17" t="n">
        <x:f>G78*F78</x:f>
        <x:v>780.0192</x:v>
      </x:c>
      <x:c r="I78" s="22" t="str">
        <x:f>HYPERLINK("https://etp-aktiv.ru/catalog/materialy/podshipniki/2000116329-Y114/","Открыть позицию")</x:f>
        <x:v>Открыть позицию</x:v>
      </x:c>
    </x:row>
    <x:row r="79" ht="28" customHeight="1">
      <x:c r="A79" s="16" t="str">
        <x:v>Новосибирская ТЭЦ-5</x:v>
      </x:c>
      <x:c r="B79" s="16" t="str">
        <x:v>2000176328-Y114</x:v>
      </x:c>
      <x:c r="C79" s="16" t="str">
        <x:v>ПОДШИПНИК 130Л</x:v>
      </x:c>
      <x:c r="D79" s="16" t="str">
        <x:v>Подшипники</x:v>
      </x:c>
      <x:c r="E79" s="16" t="str">
        <x:v>ШТ</x:v>
      </x:c>
      <x:c r="F79" s="21" t="n">
        <x:v>2</x:v>
      </x:c>
      <x:c r="G79" s="17" t="n">
        <x:v>26447.0258</x:v>
      </x:c>
      <x:c r="H79" s="17" t="n">
        <x:f>G79*F79</x:f>
        <x:v>52894.0516</x:v>
      </x:c>
      <x:c r="I79" s="22" t="str">
        <x:f>HYPERLINK("https://etp-aktiv.ru/catalog/materialy/podshipniki/2000176328-Y114/","Открыть позицию")</x:f>
        <x:v>Открыть позицию</x:v>
      </x:c>
    </x:row>
    <x:row r="80" ht="28" customHeight="1">
      <x:c r="A80" s="16" t="str">
        <x:v>Новосибирская ТЭЦ-5</x:v>
      </x:c>
      <x:c r="B80" s="16" t="str">
        <x:v>2000116692-Y114</x:v>
      </x:c>
      <x:c r="C80" s="16" t="str">
        <x:v>ПОДШИПНИК 134</x:v>
      </x:c>
      <x:c r="D80" s="16" t="str">
        <x:v>Подшипники</x:v>
      </x:c>
      <x:c r="E80" s="16" t="str">
        <x:v>ШТ</x:v>
      </x:c>
      <x:c r="F80" s="21" t="n">
        <x:v>8</x:v>
      </x:c>
      <x:c r="G80" s="17" t="n">
        <x:v>10838.1872</x:v>
      </x:c>
      <x:c r="H80" s="17" t="n">
        <x:f>G80*F80</x:f>
        <x:v>86705.4976</x:v>
      </x:c>
      <x:c r="I80" s="22" t="str">
        <x:f>HYPERLINK("https://etp-aktiv.ru/catalog/materialy/podshipniki/2000116692-Y114/","Открыть позицию")</x:f>
        <x:v>Открыть позицию</x:v>
      </x:c>
    </x:row>
    <x:row r="81" ht="28" customHeight="1">
      <x:c r="A81" s="16" t="str">
        <x:v>Новосибирская ТЭЦ-5</x:v>
      </x:c>
      <x:c r="B81" s="16" t="str">
        <x:v>2000599130-Y114</x:v>
      </x:c>
      <x:c r="C81" s="16" t="str">
        <x:v>ПОДШИПНИК 309Л</x:v>
      </x:c>
      <x:c r="D81" s="16" t="str">
        <x:v>Подшипники</x:v>
      </x:c>
      <x:c r="E81" s="16" t="str">
        <x:v>ШТ</x:v>
      </x:c>
      <x:c r="F81" s="21" t="n">
        <x:v>8</x:v>
      </x:c>
      <x:c r="G81" s="17" t="n">
        <x:v>2867</x:v>
      </x:c>
      <x:c r="H81" s="17" t="n">
        <x:f>G81*F81</x:f>
        <x:v>22936</x:v>
      </x:c>
      <x:c r="I81" s="22" t="str">
        <x:f>HYPERLINK("https://etp-aktiv.ru/catalog/materialy/podshipniki/2000599130-Y114/","Открыть позицию")</x:f>
        <x:v>Открыть позицию</x:v>
      </x:c>
    </x:row>
    <x:row r="82" ht="28" customHeight="1">
      <x:c r="A82" s="16" t="str">
        <x:v>Новосибирская ТЭЦ-5</x:v>
      </x:c>
      <x:c r="B82" s="16" t="str">
        <x:v>2000556604-Y114</x:v>
      </x:c>
      <x:c r="C82" s="16" t="str">
        <x:v>ПОДШИПНИК 32314 Л</x:v>
      </x:c>
      <x:c r="D82" s="16" t="str">
        <x:v>Подшипники</x:v>
      </x:c>
      <x:c r="E82" s="16" t="str">
        <x:v>ШТ</x:v>
      </x:c>
      <x:c r="F82" s="21" t="n">
        <x:v>4</x:v>
      </x:c>
      <x:c r="G82" s="17" t="n">
        <x:v>2702.7513999999996</x:v>
      </x:c>
      <x:c r="H82" s="17" t="n">
        <x:f>G82*F82</x:f>
        <x:v>10811.005599999999</x:v>
      </x:c>
      <x:c r="I82" s="22" t="str">
        <x:f>HYPERLINK("https://etp-aktiv.ru/catalog/materialy/podshipniki/2000556604-Y114/","Открыть позицию")</x:f>
        <x:v>Открыть позицию</x:v>
      </x:c>
    </x:row>
    <x:row r="83" ht="28" customHeight="1">
      <x:c r="A83" s="16" t="str">
        <x:v>Новосибирская ТЭЦ-5</x:v>
      </x:c>
      <x:c r="B83" s="16" t="str">
        <x:v>2000034690-Y114</x:v>
      </x:c>
      <x:c r="C83" s="16" t="str">
        <x:v>ПОДШИПНИК 8309</x:v>
      </x:c>
      <x:c r="D83" s="16" t="str">
        <x:v>Подшипники</x:v>
      </x:c>
      <x:c r="E83" s="16" t="str">
        <x:v>ШТ</x:v>
      </x:c>
      <x:c r="F83" s="21" t="n">
        <x:v>16</x:v>
      </x:c>
      <x:c r="G83" s="17" t="n">
        <x:v>525.9907999999999</x:v>
      </x:c>
      <x:c r="H83" s="17" t="n">
        <x:f>G83*F83</x:f>
        <x:v>8415.852799999999</x:v>
      </x:c>
      <x:c r="I83" s="22" t="str">
        <x:f>HYPERLINK("https://etp-aktiv.ru/catalog/materialy/podshipniki/2000034690-Y114/","Открыть позицию")</x:f>
        <x:v>Открыть позицию</x:v>
      </x:c>
    </x:row>
    <x:row r="84" ht="28" customHeight="1">
      <x:c r="A84" s="16" t="str">
        <x:v>Новосибирская ТЭЦ-5</x:v>
      </x:c>
      <x:c r="B84" s="16" t="str">
        <x:v>2000534436-Y114</x:v>
      </x:c>
      <x:c r="C84" s="16" t="str">
        <x:v>ПОДШИПНИК ОПОРНЫЙ ОРЦ.26.069 5Н-5*4</x:v>
      </x:c>
      <x:c r="D84" s="16" t="str">
        <x:v>Запасные части к энергетическим насосам</x:v>
      </x:c>
      <x:c r="E84" s="16" t="str">
        <x:v>ШТ</x:v>
      </x:c>
      <x:c r="F84" s="21" t="n">
        <x:v>2</x:v>
      </x:c>
      <x:c r="G84" s="17" t="n">
        <x:v>719.8</x:v>
      </x:c>
      <x:c r="H84" s="17" t="n">
        <x:f>G84*F84</x:f>
        <x:v>1439.6</x:v>
      </x:c>
      <x:c r="I84" s="22" t="str">
        <x:f>HYPERLINK("https://etp-aktiv.ru/catalog/materialy/zapasnye-chasti-promyshlennogo-oborudovaniya/2000534436-Y114/","Открыть позицию")</x:f>
        <x:v>Открыть позицию</x:v>
      </x:c>
    </x:row>
    <x:row r="85" ht="28" customHeight="1">
      <x:c r="A85" s="16" t="str">
        <x:v>Новосибирская ТЭЦ-5</x:v>
      </x:c>
      <x:c r="B85" s="16" t="str">
        <x:v>2000556718-Y114</x:v>
      </x:c>
      <x:c r="C85" s="16" t="str">
        <x:v>ПОДШИПНИК Ш40</x:v>
      </x:c>
      <x:c r="D85" s="16" t="str">
        <x:v>Подшипники</x:v>
      </x:c>
      <x:c r="E85" s="16" t="str">
        <x:v>ШТ</x:v>
      </x:c>
      <x:c r="F85" s="21" t="n">
        <x:v>2</x:v>
      </x:c>
      <x:c r="G85" s="17" t="n">
        <x:v>201.9954</x:v>
      </x:c>
      <x:c r="H85" s="17" t="n">
        <x:f>G85*F85</x:f>
        <x:v>403.9908</x:v>
      </x:c>
      <x:c r="I85" s="22" t="str">
        <x:f>HYPERLINK("https://etp-aktiv.ru/catalog/materialy/podshipniki/2000556718-Y114/","Открыть позицию")</x:f>
        <x:v>Открыть позицию</x:v>
      </x:c>
    </x:row>
    <x:row r="86" ht="28" customHeight="1">
      <x:c r="A86" s="16" t="str">
        <x:v>Новосибирская ТЭЦ-5</x:v>
      </x:c>
      <x:c r="B86" s="16" t="str">
        <x:v>2000561625-Y114</x:v>
      </x:c>
      <x:c r="C86" s="16" t="str">
        <x:v>СНАРЯД ОБР2 Р3 ОЧ ЗОЛОПР 2017.106.00.00</x:v>
      </x:c>
      <x:c r="D86" s="16" t="str">
        <x:v>Инструмент и спецоснастка</x:v>
      </x:c>
      <x:c r="E86" s="16" t="str">
        <x:v>ШТ</x:v>
      </x:c>
      <x:c r="F86" s="21" t="n">
        <x:v>1</x:v>
      </x:c>
      <x:c r="G86" s="17" t="n">
        <x:v>457.5</x:v>
      </x:c>
      <x:c r="H86" s="17" t="n">
        <x:f>G86*F86</x:f>
        <x:v>457.5</x:v>
      </x:c>
      <x:c r="I86" s="22" t="str">
        <x:f>HYPERLINK("https://etp-aktiv.ru/catalog/materialy/instrument-i-specosnastka/2000561625-Y114/","Открыть позицию")</x:f>
        <x:v>Открыть позицию</x:v>
      </x:c>
    </x:row>
    <x:row r="87" ht="28" customHeight="1">
      <x:c r="A87" s="16" t="str">
        <x:v>Новосибирская ТЭЦ-5</x:v>
      </x:c>
      <x:c r="B87" s="16" t="str">
        <x:v>2000534581-Y114</x:v>
      </x:c>
      <x:c r="C87" s="16" t="str">
        <x:v>УПЛОТН ОДИНАРНОЕ 100УТ1-00-00 НАС СЭ</x:v>
      </x:c>
      <x:c r="D87" s="16" t="str">
        <x:v>Запасные части к энергетическим насосам</x:v>
      </x:c>
      <x:c r="E87" s="16" t="str">
        <x:v>ШТ</x:v>
      </x:c>
      <x:c r="F87" s="21" t="n">
        <x:v>6</x:v>
      </x:c>
      <x:c r="G87" s="17" t="n">
        <x:v>183</x:v>
      </x:c>
      <x:c r="H87" s="17" t="n">
        <x:f>G87*F87</x:f>
        <x:v>1098</x:v>
      </x:c>
      <x:c r="I87" s="22" t="str">
        <x:f>HYPERLINK("https://etp-aktiv.ru/catalog/materialy/zapasnye-chasti-promyshlennogo-oborudovaniya/2000534581-Y114/","Открыть позицию")</x:f>
        <x:v>Открыть позицию</x:v>
      </x:c>
    </x:row>
    <x:row r="88" ht="28" customHeight="1">
      <x:c r="A88" s="16" t="str">
        <x:v>Новосибирская ТЭЦ-5</x:v>
      </x:c>
      <x:c r="B88" s="16" t="str">
        <x:v>2000534545-Y114</x:v>
      </x:c>
      <x:c r="C88" s="16" t="str">
        <x:v>УПЛОТНЕНИЕ 27.32.078 НАСОСА КС-50-55</x:v>
      </x:c>
      <x:c r="D88" s="16" t="str">
        <x:v>Запасные части к энергетическим насосам</x:v>
      </x:c>
      <x:c r="E88" s="16" t="str">
        <x:v>ШТ</x:v>
      </x:c>
      <x:c r="F88" s="21" t="n">
        <x:v>9</x:v>
      </x:c>
      <x:c r="G88" s="17" t="n">
        <x:v>54.9</x:v>
      </x:c>
      <x:c r="H88" s="17" t="n">
        <x:f>G88*F88</x:f>
        <x:v>494.09999999999997</x:v>
      </x:c>
      <x:c r="I88" s="22" t="str">
        <x:f>HYPERLINK("https://etp-aktiv.ru/catalog/materialy/zapasnye-chasti-promyshlennogo-oborudovaniya/2000534545-Y114/","Открыть позицию")</x:f>
        <x:v>Открыть позицию</x:v>
      </x:c>
    </x:row>
    <x:row r="89" ht="28" customHeight="1">
      <x:c r="A89" s="16" t="str">
        <x:v>Новосибирская ТЭЦ-5</x:v>
      </x:c>
      <x:c r="B89" s="16" t="str">
        <x:v>2000534601-Y114</x:v>
      </x:c>
      <x:c r="C89" s="16" t="str">
        <x:v>УПЛОТНЕНИЕ ОРЦ.26.017 НАСОСА 5Н-5*4</x:v>
      </x:c>
      <x:c r="D89" s="16" t="str">
        <x:v>Запасные части к энергетическим насосам</x:v>
      </x:c>
      <x:c r="E89" s="16" t="str">
        <x:v>ШТ</x:v>
      </x:c>
      <x:c r="F89" s="21" t="n">
        <x:v>1</x:v>
      </x:c>
      <x:c r="G89" s="17" t="n">
        <x:v>18.3</x:v>
      </x:c>
      <x:c r="H89" s="17" t="n">
        <x:f>G89*F89</x:f>
        <x:v>18.3</x:v>
      </x:c>
      <x:c r="I89" s="22" t="str">
        <x:f>HYPERLINK("https://etp-aktiv.ru/catalog/materialy/zapasnye-chasti-promyshlennogo-oborudovaniya/2000534601-Y114/","Открыть позицию")</x:f>
        <x:v>Открыть позицию</x:v>
      </x:c>
    </x:row>
    <x:row r="90" ht="28" customHeight="1">
      <x:c r="A90" s="16" t="str">
        <x:v>Новосибирская ТЭЦ-5</x:v>
      </x:c>
      <x:c r="B90" s="16" t="str">
        <x:v>2000559917-Y114</x:v>
      </x:c>
      <x:c r="C90" s="16" t="str">
        <x:v>ШАЙБА ОГРАНИЧИТЕЛЬНАЯ ОРЦ.25.102 МПО-2</x:v>
      </x:c>
      <x:c r="D90" s="16" t="str">
        <x:v>Детали редукторов, муфт и элементов муфт</x:v>
      </x:c>
      <x:c r="E90" s="16" t="str">
        <x:v>ШТ</x:v>
      </x:c>
      <x:c r="F90" s="21" t="n">
        <x:v>36</x:v>
      </x:c>
      <x:c r="G90" s="17" t="n">
        <x:v>0.915</x:v>
      </x:c>
      <x:c r="H90" s="17" t="n">
        <x:f>G90*F90</x:f>
        <x:v>32.94</x:v>
      </x:c>
      <x:c r="I90" s="22" t="str">
        <x:f>HYPERLINK("https://etp-aktiv.ru/catalog/materialy/reduktory/2000559917-Y114/","Открыть позицию")</x:f>
        <x:v>Открыть позицию</x:v>
      </x:c>
    </x:row>
    <x:row r="91" ht="28" customHeight="1">
      <x:c r="A91" s="16" t="str">
        <x:v>Филиал «Тепловые сети»</x:v>
      </x:c>
      <x:c r="B91" s="16" t="str">
        <x:v>2000533472-Y121</x:v>
      </x:c>
      <x:c r="C91" s="16" t="str">
        <x:v>ВТУЛКА 297 НАСОСА 12НДСМ</x:v>
      </x:c>
      <x:c r="D91" s="16" t="str">
        <x:v>Запасные части к химическим насосам</x:v>
      </x:c>
      <x:c r="E91" s="16" t="str">
        <x:v>ШТ</x:v>
      </x:c>
      <x:c r="F91" s="21" t="n">
        <x:v>10</x:v>
      </x:c>
      <x:c r="G91" s="17" t="n">
        <x:v>91.5</x:v>
      </x:c>
      <x:c r="H91" s="17" t="n">
        <x:f>G91*F91</x:f>
        <x:v>915</x:v>
      </x:c>
      <x:c r="I91" s="22" t="str">
        <x:f>HYPERLINK("https://etp-aktiv.ru/catalog/materialy/zapasnye-chasti-promyshlennogo-oborudovaniya/2000533472-Y121/","Открыть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3a725c958e834b12"/>
  </x:tableParts>
</x:worksheet>
</file>

<file path=xl/worksheets/sheet1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Изоляция, РТИ, огнеупорные и кислотоупорные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Новосибирская ТЭЦ-2</x:v>
      </x:c>
      <x:c r="B5" s="16" t="str">
        <x:v>2000958013-Y111</x:v>
      </x:c>
      <x:c r="C5" s="16" t="str">
        <x:v>ВОЙЛОК ПОЛУГРУБОШЕРСТ ПС 20ММ ГОСТ6308</x:v>
      </x:c>
      <x:c r="D5" s="16" t="str">
        <x:v>Теплоизоляция</x:v>
      </x:c>
      <x:c r="E5" s="16" t="str">
        <x:v>КГ</x:v>
      </x:c>
      <x:c r="F5" s="29" t="n">
        <x:v>0.7</x:v>
      </x:c>
      <x:c r="G5" s="17" t="n">
        <x:v>198.8722</x:v>
      </x:c>
      <x:c r="H5" s="17" t="n">
        <x:f>G5*F5</x:f>
        <x:v>139.21053999999998</x:v>
      </x:c>
      <x:c r="I5" s="22" t="str">
        <x:f>HYPERLINK("https://etp-aktiv.ru/catalog/materialy/teploizolyaciya/2000958013-Y111/","Открыть позицию")</x:f>
        <x:v>Открыть позицию</x:v>
      </x:c>
    </x:row>
    <x:row r="6" ht="28" customHeight="1">
      <x:c r="A6" s="16" t="str">
        <x:v>Новосибирская ТЭЦ-2</x:v>
      </x:c>
      <x:c r="B6" s="16" t="str">
        <x:v>2000081253-Y111</x:v>
      </x:c>
      <x:c r="C6" s="16" t="str">
        <x:v>МАТЫ ТЕПЛОИЗОЛ МТПЭ 1-75.2000*1000*80</x:v>
      </x:c>
      <x:c r="D6" s="16" t="str">
        <x:v>Теплоизоляция</x:v>
      </x:c>
      <x:c r="E6" s="16" t="str">
        <x:v>М3</x:v>
      </x:c>
      <x:c r="F6" s="30" t="n">
        <x:v>3.36</x:v>
      </x:c>
      <x:c r="G6" s="17" t="n">
        <x:v>3700.0038</x:v>
      </x:c>
      <x:c r="H6" s="17" t="n">
        <x:f>G6*F6</x:f>
        <x:v>12432.012767999999</x:v>
      </x:c>
      <x:c r="I6" s="22" t="str">
        <x:f>HYPERLINK("https://etp-aktiv.ru/catalog/materialy/teploizolyaciya/2000081253-Y111/","Открыть позицию")</x:f>
        <x:v>Открыть позицию</x:v>
      </x:c>
    </x:row>
    <x:row r="7" ht="28" customHeight="1">
      <x:c r="A7" s="16" t="str">
        <x:v>Новосибирская ТЭЦ-2</x:v>
      </x:c>
      <x:c r="B7" s="16" t="str">
        <x:v>2000539143-Y111</x:v>
      </x:c>
      <x:c r="C7" s="16" t="str">
        <x:v>НАБИВКА URTEX H 1200 10*10</x:v>
      </x:c>
      <x:c r="D7" s="16" t="str">
        <x:v>Асбо-технические изделия</x:v>
      </x:c>
      <x:c r="E7" s="16" t="str">
        <x:v>КГ</x:v>
      </x:c>
      <x:c r="F7" s="29" t="n">
        <x:v>0.4</x:v>
      </x:c>
      <x:c r="G7" s="17" t="n">
        <x:v>942.999</x:v>
      </x:c>
      <x:c r="H7" s="17" t="n">
        <x:f>G7*F7</x:f>
        <x:v>377.19960000000003</x:v>
      </x:c>
      <x:c r="I7" s="22" t="str">
        <x:f>HYPERLINK("https://etp-aktiv.ru/catalog/materialy/asbo-tekhnicheskie-izdeliya/2000539143-Y111/","Открыть позицию")</x:f>
        <x:v>Открыть позицию</x:v>
      </x:c>
    </x:row>
    <x:row r="8" ht="28" customHeight="1">
      <x:c r="A8" s="16" t="str">
        <x:v>Новосибирская ТЭЦ-2</x:v>
      </x:c>
      <x:c r="B8" s="16" t="str">
        <x:v>2000539148-Y111</x:v>
      </x:c>
      <x:c r="C8" s="16" t="str">
        <x:v>НАБИВКА URTEX H 1200 6*6</x:v>
      </x:c>
      <x:c r="D8" s="16" t="str">
        <x:v>Асбо-технические изделия</x:v>
      </x:c>
      <x:c r="E8" s="16" t="str">
        <x:v>КГ</x:v>
      </x:c>
      <x:c r="F8" s="30" t="n">
        <x:v>5.5</x:v>
      </x:c>
      <x:c r="G8" s="17" t="n">
        <x:v>967.9968</x:v>
      </x:c>
      <x:c r="H8" s="17" t="n">
        <x:f>G8*F8</x:f>
        <x:v>5323.9824</x:v>
      </x:c>
      <x:c r="I8" s="22" t="str">
        <x:f>HYPERLINK("https://etp-aktiv.ru/catalog/materialy/asbo-tekhnicheskie-izdeliya/2000539148-Y111/","Открыть позицию")</x:f>
        <x:v>Открыть позицию</x:v>
      </x:c>
    </x:row>
    <x:row r="9" ht="28" customHeight="1">
      <x:c r="A9" s="16" t="str">
        <x:v>Новосибирская ТЭЦ-2</x:v>
      </x:c>
      <x:c r="B9" s="16" t="str">
        <x:v>2000157556-Y111</x:v>
      </x:c>
      <x:c r="C9" s="16" t="str">
        <x:v>НАБИВКА АГИ 12*12ММ</x:v>
      </x:c>
      <x:c r="D9" s="16" t="str">
        <x:v>Асбо-технические изделия</x:v>
      </x:c>
      <x:c r="E9" s="16" t="str">
        <x:v>КГ</x:v>
      </x:c>
      <x:c r="F9" s="30" t="n">
        <x:v>4.7</x:v>
      </x:c>
      <x:c r="G9" s="17" t="n">
        <x:v>550.6714</x:v>
      </x:c>
      <x:c r="H9" s="17" t="n">
        <x:f>G9*F9</x:f>
        <x:v>2588.1555799999996</x:v>
      </x:c>
      <x:c r="I9" s="22" t="str">
        <x:f>HYPERLINK("https://etp-aktiv.ru/catalog/materialy/asbo-tekhnicheskie-izdeliya/2000157556-Y111/","Открыть позицию")</x:f>
        <x:v>Открыть позицию</x:v>
      </x:c>
    </x:row>
    <x:row r="10" ht="28" customHeight="1">
      <x:c r="A10" s="16" t="str">
        <x:v>Новосибирская ТЭЦ-2</x:v>
      </x:c>
      <x:c r="B10" s="16" t="str">
        <x:v>2000165226-Y111</x:v>
      </x:c>
      <x:c r="C10" s="16" t="str">
        <x:v>НАБИВКА АГИ 18*18ММ</x:v>
      </x:c>
      <x:c r="D10" s="16" t="str">
        <x:v>Асбо-технические изделия</x:v>
      </x:c>
      <x:c r="E10" s="16" t="str">
        <x:v>КГ</x:v>
      </x:c>
      <x:c r="F10" s="30" t="n">
        <x:v>5.2</x:v>
      </x:c>
      <x:c r="G10" s="17" t="n">
        <x:v>559.9068</x:v>
      </x:c>
      <x:c r="H10" s="17" t="n">
        <x:f>G10*F10</x:f>
        <x:v>2911.51536</x:v>
      </x:c>
      <x:c r="I10" s="22" t="str">
        <x:f>HYPERLINK("https://etp-aktiv.ru/catalog/materialy/asbo-tekhnicheskie-izdeliya/2000165226-Y111/","Открыть позицию")</x:f>
        <x:v>Открыть позицию</x:v>
      </x:c>
    </x:row>
    <x:row r="11" ht="28" customHeight="1">
      <x:c r="A11" s="16" t="str">
        <x:v>Новосибирская ТЭЦ-2</x:v>
      </x:c>
      <x:c r="B11" s="16" t="str">
        <x:v>2000140977-Y111</x:v>
      </x:c>
      <x:c r="C11" s="16" t="str">
        <x:v>НАБИВКА АПР-31 20ММ</x:v>
      </x:c>
      <x:c r="D11" s="16" t="str">
        <x:v>Асбо-технические изделия</x:v>
      </x:c>
      <x:c r="E11" s="16" t="str">
        <x:v>КГ</x:v>
      </x:c>
      <x:c r="F11" s="21" t="n">
        <x:v>9</x:v>
      </x:c>
      <x:c r="G11" s="17" t="n">
        <x:v>649.0034</x:v>
      </x:c>
      <x:c r="H11" s="17" t="n">
        <x:f>G11*F11</x:f>
        <x:v>5841.0306</x:v>
      </x:c>
      <x:c r="I11" s="22" t="str">
        <x:f>HYPERLINK("https://etp-aktiv.ru/catalog/materialy/asbo-tekhnicheskie-izdeliya/2000140977-Y111/","Открыть позицию")</x:f>
        <x:v>Открыть позицию</x:v>
      </x:c>
    </x:row>
    <x:row r="12" ht="28" customHeight="1">
      <x:c r="A12" s="16" t="str">
        <x:v>Новосибирская ТЭЦ-2</x:v>
      </x:c>
      <x:c r="B12" s="16" t="str">
        <x:v>2000803496-Y111</x:v>
      </x:c>
      <x:c r="C12" s="16" t="str">
        <x:v>НАБИВКА ГРАФЛЕКС Н 1300 6*6</x:v>
      </x:c>
      <x:c r="D12" s="16" t="str">
        <x:v>Асбо-технические изделия</x:v>
      </x:c>
      <x:c r="E12" s="16" t="str">
        <x:v>КГ</x:v>
      </x:c>
      <x:c r="F12" s="30" t="n">
        <x:v>3.7</x:v>
      </x:c>
      <x:c r="G12" s="17" t="n">
        <x:v>938.9608</x:v>
      </x:c>
      <x:c r="H12" s="17" t="n">
        <x:f>G12*F12</x:f>
        <x:v>3474.15496</x:v>
      </x:c>
      <x:c r="I12" s="22" t="str">
        <x:f>HYPERLINK("https://etp-aktiv.ru/catalog/materialy/asbo-tekhnicheskie-izdeliya/2000803496-Y111/","Открыть позицию")</x:f>
        <x:v>Открыть позицию</x:v>
      </x:c>
    </x:row>
    <x:row r="13" ht="28" customHeight="1">
      <x:c r="A13" s="16" t="str">
        <x:v>Новосибирская ТЭЦ-2</x:v>
      </x:c>
      <x:c r="B13" s="16" t="str">
        <x:v>2000539251-Y111</x:v>
      </x:c>
      <x:c r="C13" s="16" t="str">
        <x:v>НАБИВКА МНОГОСЛОЙНОЕ ПЛЕТЕНИЕ АП-31 20ММ</x:v>
      </x:c>
      <x:c r="D13" s="16" t="str">
        <x:v>Асбо-технические изделия</x:v>
      </x:c>
      <x:c r="E13" s="16" t="str">
        <x:v>КГ</x:v>
      </x:c>
      <x:c r="F13" s="21" t="n">
        <x:v>11</x:v>
      </x:c>
      <x:c r="G13" s="17" t="n">
        <x:v>299.6564</x:v>
      </x:c>
      <x:c r="H13" s="17" t="n">
        <x:f>G13*F13</x:f>
        <x:v>3296.2204</x:v>
      </x:c>
      <x:c r="I13" s="22" t="str">
        <x:f>HYPERLINK("https://etp-aktiv.ru/catalog/materialy/asbo-tekhnicheskie-izdeliya/2000539251-Y111/","Открыть позицию")</x:f>
        <x:v>Открыть позицию</x:v>
      </x:c>
    </x:row>
    <x:row r="14" ht="28" customHeight="1">
      <x:c r="A14" s="16" t="str">
        <x:v>Новосибирская ТЭЦ-2</x:v>
      </x:c>
      <x:c r="B14" s="16" t="str">
        <x:v>2000220938-Y111</x:v>
      </x:c>
      <x:c r="C14" s="16" t="str">
        <x:v>НАБИВКА НГ-301 12*12ММ</x:v>
      </x:c>
      <x:c r="D14" s="16" t="str">
        <x:v>Асбо-технические изделия</x:v>
      </x:c>
      <x:c r="E14" s="16" t="str">
        <x:v>КГ</x:v>
      </x:c>
      <x:c r="F14" s="21" t="n">
        <x:v>20</x:v>
      </x:c>
      <x:c r="G14" s="17" t="n">
        <x:v>300.5836</x:v>
      </x:c>
      <x:c r="H14" s="17" t="n">
        <x:f>G14*F14</x:f>
        <x:v>6011.672</x:v>
      </x:c>
      <x:c r="I14" s="22" t="str">
        <x:f>HYPERLINK("https://etp-aktiv.ru/catalog/materialy/asbo-tekhnicheskie-izdeliya/2000220938-Y111/","Открыть позицию")</x:f>
        <x:v>Открыть позицию</x:v>
      </x:c>
    </x:row>
    <x:row r="15" ht="28" customHeight="1">
      <x:c r="A15" s="16" t="str">
        <x:v>Новосибирская ТЭЦ-2</x:v>
      </x:c>
      <x:c r="B15" s="16" t="str">
        <x:v>2000570285-Y111</x:v>
      </x:c>
      <x:c r="C15" s="16" t="str">
        <x:v>НАБИВКА САЛЬНИКОВАЯ ГЕРМОРУМ С-131 8*8</x:v>
      </x:c>
      <x:c r="D15" s="16" t="str">
        <x:v>Асбо-технические изделия</x:v>
      </x:c>
      <x:c r="E15" s="16" t="str">
        <x:v>КГ</x:v>
      </x:c>
      <x:c r="F15" s="30" t="n">
        <x:v>2.3</x:v>
      </x:c>
      <x:c r="G15" s="17" t="n">
        <x:v>114.0334</x:v>
      </x:c>
      <x:c r="H15" s="17" t="n">
        <x:f>G15*F15</x:f>
        <x:v>262.27682</x:v>
      </x:c>
      <x:c r="I15" s="22" t="str">
        <x:f>HYPERLINK("https://etp-aktiv.ru/catalog/materialy/asbo-tekhnicheskie-izdeliya/2000570285-Y111/","Открыть позицию")</x:f>
        <x:v>Открыть позицию</x:v>
      </x:c>
    </x:row>
    <x:row r="16" ht="28" customHeight="1">
      <x:c r="A16" s="16" t="str">
        <x:v>Новосибирская ТЭЦ-2</x:v>
      </x:c>
      <x:c r="B16" s="16" t="str">
        <x:v>2000539180-Y111</x:v>
      </x:c>
      <x:c r="C16" s="16" t="str">
        <x:v>НАБИВКА СКВОЗНОЕ ПЛЕТЕНИЕ АП-31 12*12</x:v>
      </x:c>
      <x:c r="D16" s="16" t="str">
        <x:v>Асбо-технические изделия</x:v>
      </x:c>
      <x:c r="E16" s="16" t="str">
        <x:v>КГ</x:v>
      </x:c>
      <x:c r="F16" s="30" t="n">
        <x:v>10.7</x:v>
      </x:c>
      <x:c r="G16" s="17" t="n">
        <x:v>318.29799999999994</x:v>
      </x:c>
      <x:c r="H16" s="17" t="n">
        <x:f>G16*F16</x:f>
        <x:v>3405.7885999999994</x:v>
      </x:c>
      <x:c r="I16" s="22" t="str">
        <x:f>HYPERLINK("https://etp-aktiv.ru/catalog/materialy/asbo-tekhnicheskie-izdeliya/2000539180-Y111/","Открыть позицию")</x:f>
        <x:v>Открыть позицию</x:v>
      </x:c>
    </x:row>
    <x:row r="17" ht="28" customHeight="1">
      <x:c r="A17" s="16" t="str">
        <x:v>Новосибирская ТЭЦ-2</x:v>
      </x:c>
      <x:c r="B17" s="16" t="str">
        <x:v>2000539204-Y111</x:v>
      </x:c>
      <x:c r="C17" s="16" t="str">
        <x:v>НАБИВКА СКВОЗНОЕ ПЛЕТЕНИЕ АС 10*10</x:v>
      </x:c>
      <x:c r="D17" s="16" t="str">
        <x:v>Асбо-технические изделия</x:v>
      </x:c>
      <x:c r="E17" s="16" t="str">
        <x:v>КГ</x:v>
      </x:c>
      <x:c r="F17" s="30" t="n">
        <x:v>1.3</x:v>
      </x:c>
      <x:c r="G17" s="17" t="n">
        <x:v>446.2394</x:v>
      </x:c>
      <x:c r="H17" s="17" t="n">
        <x:f>G17*F17</x:f>
        <x:v>580.11122</x:v>
      </x:c>
      <x:c r="I17" s="22" t="str">
        <x:f>HYPERLINK("https://etp-aktiv.ru/catalog/materialy/asbo-tekhnicheskie-izdeliya/2000539204-Y111/","Открыть позицию")</x:f>
        <x:v>Открыть позицию</x:v>
      </x:c>
    </x:row>
    <x:row r="18" ht="28" customHeight="1">
      <x:c r="A18" s="16" t="str">
        <x:v>Новосибирская ТЭЦ-2</x:v>
      </x:c>
      <x:c r="B18" s="16" t="str">
        <x:v>2000132211-Y111</x:v>
      </x:c>
      <x:c r="C18" s="16" t="str">
        <x:v>ПАРОНИТ ПМБ 3ММ 1,0*1,5</x:v>
      </x:c>
      <x:c r="D18" s="16" t="str">
        <x:v>Асбо-технические изделия</x:v>
      </x:c>
      <x:c r="E18" s="16" t="str">
        <x:v>КГ</x:v>
      </x:c>
      <x:c r="F18" s="30" t="n">
        <x:v>79.15</x:v>
      </x:c>
      <x:c r="G18" s="17" t="n">
        <x:v>95.5382</x:v>
      </x:c>
      <x:c r="H18" s="17" t="n">
        <x:f>G18*F18</x:f>
        <x:v>7561.848530000001</x:v>
      </x:c>
      <x:c r="I18" s="22" t="str">
        <x:f>HYPERLINK("https://etp-aktiv.ru/catalog/materialy/asbo-tekhnicheskie-izdeliya/2000132211-Y111/","Открыть позицию")</x:f>
        <x:v>Открыть позицию</x:v>
      </x:c>
    </x:row>
    <x:row r="19" ht="28" customHeight="1">
      <x:c r="A19" s="16" t="str">
        <x:v>Новосибирская ТЭЦ-2</x:v>
      </x:c>
      <x:c r="B19" s="16" t="str">
        <x:v>2000138992-Y111</x:v>
      </x:c>
      <x:c r="C19" s="16" t="str">
        <x:v>СТЕКЛОХОЛСТ Т-23</x:v>
      </x:c>
      <x:c r="D19" s="16" t="str">
        <x:v>Теплоизоляция</x:v>
      </x:c>
      <x:c r="E19" s="16" t="str">
        <x:v>М2</x:v>
      </x:c>
      <x:c r="F19" s="30" t="n">
        <x:v>9.764</x:v>
      </x:c>
      <x:c r="G19" s="17" t="n">
        <x:v>20.4228</x:v>
      </x:c>
      <x:c r="H19" s="17" t="n">
        <x:f>G19*F19</x:f>
        <x:v>199.40821919999996</x:v>
      </x:c>
      <x:c r="I19" s="22" t="str">
        <x:f>HYPERLINK("https://etp-aktiv.ru/catalog/materialy/teploizolyaciya/2000138992-Y111/","Открыть позицию")</x:f>
        <x:v>Открыть позицию</x:v>
      </x:c>
    </x:row>
    <x:row r="20" ht="28" customHeight="1">
      <x:c r="A20" s="16" t="str">
        <x:v>Новосибирская ТЭЦ-2</x:v>
      </x:c>
      <x:c r="B20" s="16" t="str">
        <x:v>2000147837-Y111</x:v>
      </x:c>
      <x:c r="C20" s="16" t="str">
        <x:v>ТЕХПЛАСТИНА 3*1000*1000 ТМКЩ-С ГОСТ7338</x:v>
      </x:c>
      <x:c r="D20" s="16" t="str">
        <x:v>Резино-технические изделия прочие</x:v>
      </x:c>
      <x:c r="E20" s="16" t="str">
        <x:v>КГ</x:v>
      </x:c>
      <x:c r="F20" s="30" t="n">
        <x:v>1.5</x:v>
      </x:c>
      <x:c r="G20" s="17" t="n">
        <x:v>87.9132</x:v>
      </x:c>
      <x:c r="H20" s="17" t="n">
        <x:f>G20*F20</x:f>
        <x:v>131.8698</x:v>
      </x:c>
      <x:c r="I20" s="22" t="str">
        <x:f>HYPERLINK("https://etp-aktiv.ru/catalog/materialy/rezino-tekhnicheskie-izdeliya/2000147837-Y111/","Открыть позицию")</x:f>
        <x:v>Открыть позицию</x:v>
      </x:c>
    </x:row>
    <x:row r="21" ht="28" customHeight="1">
      <x:c r="A21" s="16" t="str">
        <x:v>Новосибирская ТЭЦ-2</x:v>
      </x:c>
      <x:c r="B21" s="16" t="str">
        <x:v>2000301075-Y111</x:v>
      </x:c>
      <x:c r="C21" s="16" t="str">
        <x:v>ШНУР ПРП-40.К-30.300 ГОСТ19177-81</x:v>
      </x:c>
      <x:c r="D21" s="16" t="str">
        <x:v>Резино-технические изделия прочие</x:v>
      </x:c>
      <x:c r="E21" s="16" t="str">
        <x:v>КГ</x:v>
      </x:c>
      <x:c r="F21" s="29" t="n">
        <x:v>0.036</x:v>
      </x:c>
      <x:c r="G21" s="17" t="n">
        <x:v>636.6081999999999</x:v>
      </x:c>
      <x:c r="H21" s="17" t="n">
        <x:f>G21*F21</x:f>
        <x:v>22.917895199999993</x:v>
      </x:c>
      <x:c r="I21" s="22" t="str">
        <x:f>HYPERLINK("https://etp-aktiv.ru/catalog/materialy/rezino-tekhnicheskie-izdeliya/2000301075-Y111/","Открыть позицию")</x:f>
        <x:v>Открыть позицию</x:v>
      </x:c>
    </x:row>
    <x:row r="22" ht="28" customHeight="1">
      <x:c r="A22" s="16" t="str">
        <x:v>Новосибирская ТЭЦ-2</x:v>
      </x:c>
      <x:c r="B22" s="16" t="str">
        <x:v>2000639189-Y111</x:v>
      </x:c>
      <x:c r="C22" s="16" t="str">
        <x:v>ШНУР ШПРИЦ D13ММ 5Р-129 ТУ38-1051165-90</x:v>
      </x:c>
      <x:c r="D22" s="16" t="str">
        <x:v>Резино-технические изделия прочие</x:v>
      </x:c>
      <x:c r="E22" s="16" t="str">
        <x:v>КГ</x:v>
      </x:c>
      <x:c r="F22" s="29" t="n">
        <x:v>0.3</x:v>
      </x:c>
      <x:c r="G22" s="17" t="n">
        <x:v>2551.4226</x:v>
      </x:c>
      <x:c r="H22" s="17" t="n">
        <x:f>G22*F22</x:f>
        <x:v>765.4267799999999</x:v>
      </x:c>
      <x:c r="I22" s="22" t="str">
        <x:f>HYPERLINK("https://etp-aktiv.ru/catalog/materialy/rezino-tekhnicheskie-izdeliya/2000639189-Y111/","Открыть позицию")</x:f>
        <x:v>Открыть позицию</x:v>
      </x:c>
    </x:row>
    <x:row r="23" ht="28" customHeight="1">
      <x:c r="A23" s="16" t="str">
        <x:v>Новосибирская ТЭЦ-3</x:v>
      </x:c>
      <x:c r="B23" s="16" t="str">
        <x:v>2000485771-Y112</x:v>
      </x:c>
      <x:c r="C23" s="16" t="str">
        <x:v>КАРТОН АСБЕСТОВЫЙ КАОН-1-5 5ММ</x:v>
      </x:c>
      <x:c r="D23" s="16" t="str">
        <x:v>Асбо-технические изделия</x:v>
      </x:c>
      <x:c r="E23" s="16" t="str">
        <x:v>КГ</x:v>
      </x:c>
      <x:c r="F23" s="30" t="n">
        <x:v>8.6</x:v>
      </x:c>
      <x:c r="G23" s="17" t="n">
        <x:v>62.4518</x:v>
      </x:c>
      <x:c r="H23" s="17" t="n">
        <x:f>G23*F23</x:f>
        <x:v>537.08548</x:v>
      </x:c>
      <x:c r="I23" s="22" t="str">
        <x:f>HYPERLINK("https://etp-aktiv.ru/catalog/materialy/asbo-tekhnicheskie-izdeliya/2000485771-Y112/","Открыть позицию")</x:f>
        <x:v>Открыть позицию</x:v>
      </x:c>
    </x:row>
    <x:row r="24" ht="28" customHeight="1">
      <x:c r="A24" s="16" t="str">
        <x:v>Новосибирская ТЭЦ-3</x:v>
      </x:c>
      <x:c r="B24" s="16" t="str">
        <x:v>2000392353-Y112</x:v>
      </x:c>
      <x:c r="C24" s="16" t="str">
        <x:v>ПЕНОПОЛИСТИРОЛ XPS CARBONECO 1180*580*50</x:v>
      </x:c>
      <x:c r="D24" s="16" t="str">
        <x:v>Теплоизоляция</x:v>
      </x:c>
      <x:c r="E24" s="16" t="str">
        <x:v>М3</x:v>
      </x:c>
      <x:c r="F24" s="29" t="n">
        <x:v>0.21</x:v>
      </x:c>
      <x:c r="G24" s="17" t="n">
        <x:v>2834.975</x:v>
      </x:c>
      <x:c r="H24" s="17" t="n">
        <x:f>G24*F24</x:f>
        <x:v>595.34475</x:v>
      </x:c>
      <x:c r="I24" s="22" t="str">
        <x:f>HYPERLINK("https://etp-aktiv.ru/catalog/materialy/teploizolyaciya/2000392353-Y112/","Открыть позицию")</x:f>
        <x:v>Открыть позицию</x:v>
      </x:c>
    </x:row>
    <x:row r="25" ht="28" customHeight="1">
      <x:c r="A25" s="16" t="str">
        <x:v>Новосибирская ТЭЦ-3</x:v>
      </x:c>
      <x:c r="B25" s="16" t="str">
        <x:v>2000636231-Y112</x:v>
      </x:c>
      <x:c r="C25" s="16" t="str">
        <x:v>ПЛАСТИНА 1600*3200*30 2Н-1-ТМКЩ-С-30</x:v>
      </x:c>
      <x:c r="D25" s="16" t="str">
        <x:v>Резино-технические изделия прочие</x:v>
      </x:c>
      <x:c r="E25" s="16" t="str">
        <x:v>КГ</x:v>
      </x:c>
      <x:c r="F25" s="30" t="n">
        <x:v>17.3</x:v>
      </x:c>
      <x:c r="G25" s="17" t="n">
        <x:v>34.623599999999996</x:v>
      </x:c>
      <x:c r="H25" s="17" t="n">
        <x:f>G25*F25</x:f>
        <x:v>598.9882799999999</x:v>
      </x:c>
      <x:c r="I25" s="22" t="str">
        <x:f>HYPERLINK("https://etp-aktiv.ru/catalog/materialy/rezino-tekhnicheskie-izdeliya/2000636231-Y112/","Открыть позицию")</x:f>
        <x:v>Открыть позицию</x:v>
      </x:c>
    </x:row>
    <x:row r="26" ht="28" customHeight="1">
      <x:c r="A26" s="16" t="str">
        <x:v>Новосибирская ТЭЦ-3</x:v>
      </x:c>
      <x:c r="B26" s="16" t="str">
        <x:v>2000628431-Y112</x:v>
      </x:c>
      <x:c r="C26" s="16" t="str">
        <x:v>ПЛАСТИНА 5*700*3000 1Н-I ТМКЩ-С ГОСТ7338</x:v>
      </x:c>
      <x:c r="D26" s="16" t="str">
        <x:v>Резино-технические изделия прочие</x:v>
      </x:c>
      <x:c r="E26" s="16" t="str">
        <x:v>КГ</x:v>
      </x:c>
      <x:c r="F26" s="30" t="n">
        <x:v>21.44</x:v>
      </x:c>
      <x:c r="G26" s="17" t="n">
        <x:v>18.9588</x:v>
      </x:c>
      <x:c r="H26" s="17" t="n">
        <x:f>G26*F26</x:f>
        <x:v>406.476672</x:v>
      </x:c>
      <x:c r="I26" s="22" t="str">
        <x:f>HYPERLINK("https://etp-aktiv.ru/catalog/materialy/rezino-tekhnicheskie-izdeliya/2000628431-Y112/","Открыть позицию")</x:f>
        <x:v>Открыть позицию</x:v>
      </x:c>
    </x:row>
    <x:row r="27" ht="28" customHeight="1">
      <x:c r="A27" s="16" t="str">
        <x:v>Новосибирская ТЭЦ-3</x:v>
      </x:c>
      <x:c r="B27" s="16" t="str">
        <x:v>2000248710-Y112</x:v>
      </x:c>
      <x:c r="C27" s="16" t="str">
        <x:v>ПЛАСТИНА РЕЗ УМ 4*800*1000 ГОСТ12855-77</x:v>
      </x:c>
      <x:c r="D27" s="16" t="str">
        <x:v>Резино-технические изделия прочие</x:v>
      </x:c>
      <x:c r="E27" s="16" t="str">
        <x:v>КГ</x:v>
      </x:c>
      <x:c r="F27" s="30" t="n">
        <x:v>12.43</x:v>
      </x:c>
      <x:c r="G27" s="17" t="n">
        <x:v>98.9176</x:v>
      </x:c>
      <x:c r="H27" s="17" t="n">
        <x:f>G27*F27</x:f>
        <x:v>1229.545768</x:v>
      </x:c>
      <x:c r="I27" s="22" t="str">
        <x:f>HYPERLINK("https://etp-aktiv.ru/catalog/materialy/rezino-tekhnicheskie-izdeliya/2000248710-Y112/","Открыть позицию")</x:f>
        <x:v>Открыть позицию</x:v>
      </x:c>
    </x:row>
    <x:row r="28" ht="28" customHeight="1">
      <x:c r="A28" s="16" t="str">
        <x:v>Новосибирская ТЭЦ-3</x:v>
      </x:c>
      <x:c r="B28" s="16" t="str">
        <x:v>2000261614-Y112</x:v>
      </x:c>
      <x:c r="C28" s="16" t="str">
        <x:v>РУКАВ С НИТ УС D40*51,5 P16 ГОСТ10362-76</x:v>
      </x:c>
      <x:c r="D28" s="16" t="str">
        <x:v>Резино-технические изделия проч специализирован и под заказ</x:v>
      </x:c>
      <x:c r="E28" s="16" t="str">
        <x:v>М</x:v>
      </x:c>
      <x:c r="F28" s="30" t="n">
        <x:v>25.8</x:v>
      </x:c>
      <x:c r="G28" s="17" t="n">
        <x:v>35.5264</x:v>
      </x:c>
      <x:c r="H28" s="17" t="n">
        <x:f>G28*F28</x:f>
        <x:v>916.58112</x:v>
      </x:c>
      <x:c r="I28" s="22" t="str">
        <x:f>HYPERLINK("https://etp-aktiv.ru/catalog/materialy/rezino-tekhnicheskie-izdeliya/2000261614-Y112/","Открыть позицию")</x:f>
        <x:v>Открыть позицию</x:v>
      </x:c>
    </x:row>
    <x:row r="29" ht="28" customHeight="1">
      <x:c r="A29" s="16" t="str">
        <x:v>Новосибирская ТЭЦ-3</x:v>
      </x:c>
      <x:c r="B29" s="16" t="str">
        <x:v>2000002125-Y112</x:v>
      </x:c>
      <x:c r="C29" s="16" t="str">
        <x:v>РУКАВ С НИТ УСИЛ D16 P16 ГОСТ10362-76</x:v>
      </x:c>
      <x:c r="D29" s="16" t="str">
        <x:v>Резино-технические изделия проч специализирован и под заказ</x:v>
      </x:c>
      <x:c r="E29" s="16" t="str">
        <x:v>ПМ</x:v>
      </x:c>
      <x:c r="F29" s="21" t="n">
        <x:v>1</x:v>
      </x:c>
      <x:c r="G29" s="17" t="n">
        <x:v>33.245</x:v>
      </x:c>
      <x:c r="H29" s="17" t="n">
        <x:f>G29*F29</x:f>
        <x:v>33.245</x:v>
      </x:c>
      <x:c r="I29" s="22" t="str">
        <x:f>HYPERLINK("https://etp-aktiv.ru/catalog/materialy/rezino-tekhnicheskie-izdeliya/2000002125-Y112/","Открыть позицию")</x:f>
        <x:v>Открыть позицию</x:v>
      </x:c>
    </x:row>
    <x:row r="30" ht="28" customHeight="1">
      <x:c r="A30" s="16" t="str">
        <x:v>Новосибирская ТЭЦ-3</x:v>
      </x:c>
      <x:c r="B30" s="16" t="str">
        <x:v>2000547193-Y112</x:v>
      </x:c>
      <x:c r="C30" s="16" t="str">
        <x:v>РУКАВ Ш(VIII)-10-50-67 ГОСТ18698-79</x:v>
      </x:c>
      <x:c r="D30" s="16" t="str">
        <x:v>Резино-технические изделия проч специализирован и под заказ</x:v>
      </x:c>
      <x:c r="E30" s="16" t="str">
        <x:v>М</x:v>
      </x:c>
      <x:c r="F30" s="21" t="n">
        <x:v>4</x:v>
      </x:c>
      <x:c r="G30" s="17" t="n">
        <x:v>45.7866</x:v>
      </x:c>
      <x:c r="H30" s="17" t="n">
        <x:f>G30*F30</x:f>
        <x:v>183.1464</x:v>
      </x:c>
      <x:c r="I30" s="22" t="str">
        <x:f>HYPERLINK("https://etp-aktiv.ru/catalog/materialy/rezino-tekhnicheskie-izdeliya/2000547193-Y112/","Открыть позицию")</x:f>
        <x:v>Открыть позицию</x:v>
      </x:c>
    </x:row>
    <x:row r="31" ht="28" customHeight="1">
      <x:c r="A31" s="16" t="str">
        <x:v>Новосибирская ТЭЦ-3</x:v>
      </x:c>
      <x:c r="B31" s="16" t="str">
        <x:v>2000141957-Y112</x:v>
      </x:c>
      <x:c r="C31" s="16" t="str">
        <x:v>ТЕХПЛАСТИНА 4ММ ТКМЩ С ГОСТ7338-90</x:v>
      </x:c>
      <x:c r="D31" s="16" t="str">
        <x:v>Резино-технические изделия прочие</x:v>
      </x:c>
      <x:c r="E31" s="16" t="str">
        <x:v>КГ</x:v>
      </x:c>
      <x:c r="F31" s="30" t="n">
        <x:v>84.97</x:v>
      </x:c>
      <x:c r="G31" s="17" t="n">
        <x:v>94.09859999999999</x:v>
      </x:c>
      <x:c r="H31" s="17" t="n">
        <x:f>G31*F31</x:f>
        <x:v>7995.558041999999</x:v>
      </x:c>
      <x:c r="I31" s="22" t="str">
        <x:f>HYPERLINK("https://etp-aktiv.ru/catalog/materialy/rezino-tekhnicheskie-izdeliya/2000141957-Y112/","Открыть позицию")</x:f>
        <x:v>Открыть позицию</x:v>
      </x:c>
    </x:row>
    <x:row r="32" ht="28" customHeight="1">
      <x:c r="A32" s="16" t="str">
        <x:v>Новосибирская ТЭЦ-3</x:v>
      </x:c>
      <x:c r="B32" s="16" t="str">
        <x:v>2000392897-Y112</x:v>
      </x:c>
      <x:c r="C32" s="16" t="str">
        <x:v>ШЛАНГ РЕЗИНОВЫЙ В БУХТЕ 12ММ АR-121850</x:v>
      </x:c>
      <x:c r="D32" s="16" t="str">
        <x:v>Инструмент и спецоснастка</x:v>
      </x:c>
      <x:c r="E32" s="16" t="str">
        <x:v>ШТ</x:v>
      </x:c>
      <x:c r="F32" s="21" t="n">
        <x:v>1</x:v>
      </x:c>
      <x:c r="G32" s="17" t="n">
        <x:v>29000.1686</x:v>
      </x:c>
      <x:c r="H32" s="17" t="n">
        <x:f>G32*F32</x:f>
        <x:v>29000.1686</x:v>
      </x:c>
      <x:c r="I32" s="22" t="str">
        <x:f>HYPERLINK("https://etp-aktiv.ru/catalog/materialy/instrument-i-specosnastka/2000392897-Y112/","Открыть позицию")</x:f>
        <x:v>Открыть позицию</x:v>
      </x:c>
    </x:row>
    <x:row r="33" ht="28" customHeight="1">
      <x:c r="A33" s="16" t="str">
        <x:v>Новосибирская ТЭЦ-3</x:v>
      </x:c>
      <x:c r="B33" s="16" t="str">
        <x:v>2000549122-Y112</x:v>
      </x:c>
      <x:c r="C33" s="16" t="str">
        <x:v>ШНУР 50ММ ШБЭ 150/200</x:v>
      </x:c>
      <x:c r="D33" s="16" t="str">
        <x:v>Теплоизоляция</x:v>
      </x:c>
      <x:c r="E33" s="16" t="str">
        <x:v>М3</x:v>
      </x:c>
      <x:c r="F33" s="29" t="n">
        <x:v>0.16</x:v>
      </x:c>
      <x:c r="G33" s="17" t="n">
        <x:v>8963.4254</x:v>
      </x:c>
      <x:c r="H33" s="17" t="n">
        <x:f>G33*F33</x:f>
        <x:v>1434.148064</x:v>
      </x:c>
      <x:c r="I33" s="22" t="str">
        <x:f>HYPERLINK("https://etp-aktiv.ru/catalog/materialy/teploizolyaciya/2000549122-Y112/","Открыть позицию")</x:f>
        <x:v>Открыть позицию</x:v>
      </x:c>
    </x:row>
    <x:row r="34" ht="28" customHeight="1">
      <x:c r="A34" s="16" t="str">
        <x:v>Новосибирская ТЭЦ-3</x:v>
      </x:c>
      <x:c r="B34" s="16" t="str">
        <x:v>2000243320-Y112</x:v>
      </x:c>
      <x:c r="C34" s="16" t="str">
        <x:v>ШНУР ВАКУУМНЫЙ D10ММ ТУ38-10554-70</x:v>
      </x:c>
      <x:c r="D34" s="16" t="str">
        <x:v>Резино-технические изделия прочие</x:v>
      </x:c>
      <x:c r="E34" s="16" t="str">
        <x:v>КГ</x:v>
      </x:c>
      <x:c r="F34" s="30" t="n">
        <x:v>3.5</x:v>
      </x:c>
      <x:c r="G34" s="17" t="n">
        <x:v>343.6862</x:v>
      </x:c>
      <x:c r="H34" s="17" t="n">
        <x:f>G34*F34</x:f>
        <x:v>1202.9017</x:v>
      </x:c>
      <x:c r="I34" s="22" t="str">
        <x:f>HYPERLINK("https://etp-aktiv.ru/catalog/materialy/rezino-tekhnicheskie-izdeliya/2000243320-Y112/","Открыть позицию")</x:f>
        <x:v>Открыть позицию</x:v>
      </x:c>
    </x:row>
    <x:row r="35" ht="28" customHeight="1">
      <x:c r="A35" s="16" t="str">
        <x:v>Новосибирская ТЭЦ-4</x:v>
      </x:c>
      <x:c r="B35" s="16" t="str">
        <x:v>2000553793-Y113</x:v>
      </x:c>
      <x:c r="C35" s="16" t="str">
        <x:v>КЛИН РЕБРОВОЙ ША-1 17673 ГОСТ390-96</x:v>
      </x:c>
      <x:c r="D35" s="16" t="str">
        <x:v>Огнеупорные материалы</x:v>
      </x:c>
      <x:c r="E35" s="16" t="str">
        <x:v>Т</x:v>
      </x:c>
      <x:c r="F35" s="29" t="n">
        <x:v>0.3</x:v>
      </x:c>
      <x:c r="G35" s="17" t="n">
        <x:v>886.5251999999999</x:v>
      </x:c>
      <x:c r="H35" s="17" t="n">
        <x:f>G35*F35</x:f>
        <x:v>265.95755999999994</x:v>
      </x:c>
      <x:c r="I35" s="22" t="str">
        <x:f>HYPERLINK("https://etp-aktiv.ru/catalog/materialy/ogneupornye-materialy/2000553793-Y113/","Открыть позицию")</x:f>
        <x:v>Открыть позицию</x:v>
      </x:c>
    </x:row>
    <x:row r="36" ht="28" customHeight="1">
      <x:c r="A36" s="16" t="str">
        <x:v>Новосибирская ТЭЦ-4</x:v>
      </x:c>
      <x:c r="B36" s="16" t="str">
        <x:v>2000539066-Y113</x:v>
      </x:c>
      <x:c r="C36" s="16" t="str">
        <x:v>КМП КОЛЕЦ 6ШТ К-03Ш КГФ-Г 2*4-78*52*78</x:v>
      </x:c>
      <x:c r="D36" s="16" t="str">
        <x:v>Асбо-технические изделия</x:v>
      </x:c>
      <x:c r="E36" s="16" t="str">
        <x:v>КМП</x:v>
      </x:c>
      <x:c r="F36" s="21" t="n">
        <x:v>42</x:v>
      </x:c>
      <x:c r="G36" s="17" t="n">
        <x:v>397.3418</x:v>
      </x:c>
      <x:c r="H36" s="17" t="n">
        <x:f>G36*F36</x:f>
        <x:v>16688.3556</x:v>
      </x:c>
      <x:c r="I36" s="22" t="str">
        <x:f>HYPERLINK("https://etp-aktiv.ru/catalog/materialy/asbo-tekhnicheskie-izdeliya/2000539066-Y113/","Открыть позицию")</x:f>
        <x:v>Открыть позицию</x:v>
      </x:c>
    </x:row>
    <x:row r="37" ht="28" customHeight="1">
      <x:c r="A37" s="16" t="str">
        <x:v>Новосибирская ТЭЦ-4</x:v>
      </x:c>
      <x:c r="B37" s="16" t="str">
        <x:v>2000539076-Y113</x:v>
      </x:c>
      <x:c r="C37" s="16" t="str">
        <x:v>КМП КОЛЕЦ К-03Ш КГФ-Г 2*4-30*18*36</x:v>
      </x:c>
      <x:c r="D37" s="16" t="str">
        <x:v>Асбо-технические изделия</x:v>
      </x:c>
      <x:c r="E37" s="16" t="str">
        <x:v>КМП</x:v>
      </x:c>
      <x:c r="F37" s="21" t="n">
        <x:v>56</x:v>
      </x:c>
      <x:c r="G37" s="17" t="n">
        <x:v>41.0164</x:v>
      </x:c>
      <x:c r="H37" s="17" t="n">
        <x:f>G37*F37</x:f>
        <x:v>2296.9184</x:v>
      </x:c>
      <x:c r="I37" s="22" t="str">
        <x:f>HYPERLINK("https://etp-aktiv.ru/catalog/materialy/asbo-tekhnicheskie-izdeliya/2000539076-Y113/","Открыть позицию")</x:f>
        <x:v>Открыть позицию</x:v>
      </x:c>
    </x:row>
    <x:row r="38" ht="28" customHeight="1">
      <x:c r="A38" s="16" t="str">
        <x:v>Новосибирская ТЭЦ-4</x:v>
      </x:c>
      <x:c r="B38" s="16" t="str">
        <x:v>2000539079-Y113</x:v>
      </x:c>
      <x:c r="C38" s="16" t="str">
        <x:v>КМП КОЛЕЦ К-05Ш КГФ-Г 4*2-32*20*36</x:v>
      </x:c>
      <x:c r="D38" s="16" t="str">
        <x:v>Асбо-технические изделия</x:v>
      </x:c>
      <x:c r="E38" s="16" t="str">
        <x:v>КМП</x:v>
      </x:c>
      <x:c r="F38" s="21" t="n">
        <x:v>120</x:v>
      </x:c>
      <x:c r="G38" s="17" t="n">
        <x:v>60.1216</x:v>
      </x:c>
      <x:c r="H38" s="17" t="n">
        <x:f>G38*F38</x:f>
        <x:v>7214.592000000001</x:v>
      </x:c>
      <x:c r="I38" s="22" t="str">
        <x:f>HYPERLINK("https://etp-aktiv.ru/catalog/materialy/asbo-tekhnicheskie-izdeliya/2000539079-Y113/","Открыть позицию")</x:f>
        <x:v>Открыть позицию</x:v>
      </x:c>
    </x:row>
    <x:row r="39" ht="28" customHeight="1">
      <x:c r="A39" s="16" t="str">
        <x:v>Новосибирская ТЭЦ-4</x:v>
      </x:c>
      <x:c r="B39" s="16" t="str">
        <x:v>2000539080-Y113</x:v>
      </x:c>
      <x:c r="C39" s="16" t="str">
        <x:v>КМП КОЛЕЦ К-05Ш КГФ-Г 4*2-64*44*60</x:v>
      </x:c>
      <x:c r="D39" s="16" t="str">
        <x:v>Асбо-технические изделия</x:v>
      </x:c>
      <x:c r="E39" s="16" t="str">
        <x:v>КМП</x:v>
      </x:c>
      <x:c r="F39" s="21" t="n">
        <x:v>9</x:v>
      </x:c>
      <x:c r="G39" s="17" t="n">
        <x:v>400.0014</x:v>
      </x:c>
      <x:c r="H39" s="17" t="n">
        <x:f>G39*F39</x:f>
        <x:v>3600.0126</x:v>
      </x:c>
      <x:c r="I39" s="22" t="str">
        <x:f>HYPERLINK("https://etp-aktiv.ru/catalog/materialy/asbo-tekhnicheskie-izdeliya/2000539080-Y113/","Открыть позицию")</x:f>
        <x:v>Открыть позицию</x:v>
      </x:c>
    </x:row>
    <x:row r="40" ht="28" customHeight="1">
      <x:c r="A40" s="16" t="str">
        <x:v>Новосибирская ТЭЦ-4</x:v>
      </x:c>
      <x:c r="B40" s="16" t="str">
        <x:v>2000547021-Y113</x:v>
      </x:c>
      <x:c r="C40" s="16" t="str">
        <x:v>ТЕХПЛАСТИНА 3*1000*3000 УМ ГОСТ12855-77</x:v>
      </x:c>
      <x:c r="D40" s="16" t="str">
        <x:v>Резино-технические изделия прочие</x:v>
      </x:c>
      <x:c r="E40" s="16" t="str">
        <x:v>КГ</x:v>
      </x:c>
      <x:c r="F40" s="29" t="n">
        <x:v>0.05</x:v>
      </x:c>
      <x:c r="G40" s="17" t="n">
        <x:v>405.52799999999996</x:v>
      </x:c>
      <x:c r="H40" s="17" t="n">
        <x:f>G40*F40</x:f>
        <x:v>20.2764</x:v>
      </x:c>
      <x:c r="I40" s="22" t="str">
        <x:f>HYPERLINK("https://etp-aktiv.ru/catalog/materialy/rezino-tekhnicheskie-izdeliya/2000547021-Y113/","Открыть позицию")</x:f>
        <x:v>Открыть позицию</x:v>
      </x:c>
    </x:row>
    <x:row r="41" ht="28" customHeight="1">
      <x:c r="A41" s="16" t="str">
        <x:v>Новосибирская ТЭЦ-5</x:v>
      </x:c>
      <x:c r="B41" s="16" t="str">
        <x:v>2000563539-Y114</x:v>
      </x:c>
      <x:c r="C41" s="16" t="str">
        <x:v>ВОЙЛОК ТЕХНИЧЕСКИЙ 3ММ</x:v>
      </x:c>
      <x:c r="D41" s="16" t="str">
        <x:v>Теплоизоляция</x:v>
      </x:c>
      <x:c r="E41" s="16" t="str">
        <x:v>КГ</x:v>
      </x:c>
      <x:c r="F41" s="21" t="n">
        <x:v>14</x:v>
      </x:c>
      <x:c r="G41" s="17" t="n">
        <x:v>270.657</x:v>
      </x:c>
      <x:c r="H41" s="17" t="n">
        <x:f>G41*F41</x:f>
        <x:v>3789.198</x:v>
      </x:c>
      <x:c r="I41" s="22" t="str">
        <x:f>HYPERLINK("https://etp-aktiv.ru/catalog/materialy/teploizolyaciya/2000563539-Y114/","Открыть позицию")</x:f>
        <x:v>Открыть позицию</x:v>
      </x:c>
    </x:row>
    <x:row r="42" ht="28" customHeight="1">
      <x:c r="A42" s="16" t="str">
        <x:v>Новосибирская ТЭЦ-5</x:v>
      </x:c>
      <x:c r="B42" s="16" t="str">
        <x:v>2000553793-Y114</x:v>
      </x:c>
      <x:c r="C42" s="16" t="str">
        <x:v>КЛИН РЕБРОВОЙ ША-1 17673 ГОСТ390-96</x:v>
      </x:c>
      <x:c r="D42" s="16" t="str">
        <x:v>Огнеупорные материалы</x:v>
      </x:c>
      <x:c r="E42" s="16" t="str">
        <x:v>Т</x:v>
      </x:c>
      <x:c r="F42" s="29" t="n">
        <x:v>0.53</x:v>
      </x:c>
      <x:c r="G42" s="17" t="n">
        <x:v>2980.7162</x:v>
      </x:c>
      <x:c r="H42" s="17" t="n">
        <x:f>G42*F42</x:f>
        <x:v>1579.779586</x:v>
      </x:c>
      <x:c r="I42" s="22" t="str">
        <x:f>HYPERLINK("https://etp-aktiv.ru/catalog/materialy/ogneupornye-materialy/2000553793-Y114/","Открыть позицию")</x:f>
        <x:v>Открыть позицию</x:v>
      </x:c>
    </x:row>
    <x:row r="43" ht="28" customHeight="1">
      <x:c r="A43" s="16" t="str">
        <x:v>Новосибирская ТЭЦ-5</x:v>
      </x:c>
      <x:c r="B43" s="16" t="str">
        <x:v>2000699776-Y114</x:v>
      </x:c>
      <x:c r="C43" s="16" t="str">
        <x:v>КОЛЬЦО УПЛОТНИТЕЛЬНОЕ 235-245-58-2-4</x:v>
      </x:c>
      <x:c r="D43" s="16" t="str">
        <x:v>Резино-технические изделия прочие</x:v>
      </x:c>
      <x:c r="E43" s="16" t="str">
        <x:v>ШТ</x:v>
      </x:c>
      <x:c r="F43" s="21" t="n">
        <x:v>2</x:v>
      </x:c>
      <x:c r="G43" s="17" t="n">
        <x:v>8.747399999999999</x:v>
      </x:c>
      <x:c r="H43" s="17" t="n">
        <x:f>G43*F43</x:f>
        <x:v>17.494799999999998</x:v>
      </x:c>
      <x:c r="I43" s="22" t="str">
        <x:f>HYPERLINK("https://etp-aktiv.ru/catalog/materialy/rezino-tekhnicheskie-izdeliya/2000699776-Y114/","Открыть позицию")</x:f>
        <x:v>Открыть позицию</x:v>
      </x:c>
    </x:row>
    <x:row r="44" ht="28" customHeight="1">
      <x:c r="A44" s="16" t="str">
        <x:v>Новосибирская ТЭЦ-5</x:v>
      </x:c>
      <x:c r="B44" s="16" t="str">
        <x:v>2000539120-Y114</x:v>
      </x:c>
      <x:c r="C44" s="16" t="str">
        <x:v>ЛЕНТА ЭМ-1 10*100</x:v>
      </x:c>
      <x:c r="D44" s="16" t="str">
        <x:v>Асбо-технические изделия</x:v>
      </x:c>
      <x:c r="E44" s="16" t="str">
        <x:v>М2</x:v>
      </x:c>
      <x:c r="F44" s="29" t="n">
        <x:v>0.4</x:v>
      </x:c>
      <x:c r="G44" s="17" t="n">
        <x:v>1121.9486</x:v>
      </x:c>
      <x:c r="H44" s="17" t="n">
        <x:f>G44*F44</x:f>
        <x:v>448.77944</x:v>
      </x:c>
      <x:c r="I44" s="22" t="str">
        <x:f>HYPERLINK("https://etp-aktiv.ru/catalog/materialy/asbo-tekhnicheskie-izdeliya/2000539120-Y114/","Открыть позицию")</x:f>
        <x:v>Открыть позицию</x:v>
      </x:c>
    </x:row>
    <x:row r="45" ht="28" customHeight="1">
      <x:c r="A45" s="16" t="str">
        <x:v>Новосибирская ТЭЦ-5</x:v>
      </x:c>
      <x:c r="B45" s="16" t="str">
        <x:v>2000986383-Y114</x:v>
      </x:c>
      <x:c r="C45" s="16" t="str">
        <x:v>НАБИВКА НФГ-106 6*6ММ</x:v>
      </x:c>
      <x:c r="D45" s="16" t="str">
        <x:v>Асбо-технические изделия</x:v>
      </x:c>
      <x:c r="E45" s="16" t="str">
        <x:v>КГ</x:v>
      </x:c>
      <x:c r="F45" s="21" t="n">
        <x:v>10</x:v>
      </x:c>
      <x:c r="G45" s="17" t="n">
        <x:v>4859.5162</x:v>
      </x:c>
      <x:c r="H45" s="17" t="n">
        <x:f>G45*F45</x:f>
        <x:v>48595.162</x:v>
      </x:c>
      <x:c r="I45" s="22" t="str">
        <x:f>HYPERLINK("https://etp-aktiv.ru/catalog/materialy/asbo-tekhnicheskie-izdeliya/2000986383-Y114/","Открыть позицию")</x:f>
        <x:v>Открыть позицию</x:v>
      </x:c>
    </x:row>
    <x:row r="46" ht="28" customHeight="1">
      <x:c r="A46" s="16" t="str">
        <x:v>Новосибирская ТЭЦ-5</x:v>
      </x:c>
      <x:c r="B46" s="16" t="str">
        <x:v>2000986382-Y114</x:v>
      </x:c>
      <x:c r="C46" s="16" t="str">
        <x:v>НАБИВКА НФГ-106 8*8ММ</x:v>
      </x:c>
      <x:c r="D46" s="16" t="str">
        <x:v>Асбо-технические изделия</x:v>
      </x:c>
      <x:c r="E46" s="16" t="str">
        <x:v>КГ</x:v>
      </x:c>
      <x:c r="F46" s="21" t="n">
        <x:v>5</x:v>
      </x:c>
      <x:c r="G46" s="17" t="n">
        <x:v>4859.5162</x:v>
      </x:c>
      <x:c r="H46" s="17" t="n">
        <x:f>G46*F46</x:f>
        <x:v>24297.581</x:v>
      </x:c>
      <x:c r="I46" s="22" t="str">
        <x:f>HYPERLINK("https://etp-aktiv.ru/catalog/materialy/asbo-tekhnicheskie-izdeliya/2000986382-Y114/","Открыть позицию")</x:f>
        <x:v>Открыть позицию</x:v>
      </x:c>
    </x:row>
    <x:row r="47" ht="28" customHeight="1">
      <x:c r="A47" s="16" t="str">
        <x:v>Новосибирская ТЭЦ-5</x:v>
      </x:c>
      <x:c r="B47" s="16" t="str">
        <x:v>2000548998-Y114</x:v>
      </x:c>
      <x:c r="C47" s="16" t="str">
        <x:v>ПЛИТА ПЦП 500*500*50</x:v>
      </x:c>
      <x:c r="D47" s="16" t="str">
        <x:v>Теплоизоляция</x:v>
      </x:c>
      <x:c r="E47" s="16" t="str">
        <x:v>М3</x:v>
      </x:c>
      <x:c r="F47" s="30" t="n">
        <x:v>3.24</x:v>
      </x:c>
      <x:c r="G47" s="17" t="n">
        <x:v>4968.315799999999</x:v>
      </x:c>
      <x:c r="H47" s="17" t="n">
        <x:f>G47*F47</x:f>
        <x:v>16097.343191999998</x:v>
      </x:c>
      <x:c r="I47" s="22" t="str">
        <x:f>HYPERLINK("https://etp-aktiv.ru/catalog/materialy/teploizolyaciya/2000548998-Y114/","Открыть позицию")</x:f>
        <x:v>Открыть позицию</x:v>
      </x:c>
    </x:row>
    <x:row r="48" ht="28" customHeight="1">
      <x:c r="A48" s="16" t="str">
        <x:v>Новосибирская ТЭЦ-5</x:v>
      </x:c>
      <x:c r="B48" s="16" t="str">
        <x:v>2000546662-Y114</x:v>
      </x:c>
      <x:c r="C48" s="16" t="str">
        <x:v>РЕМЕНЬ B(Б) 3150</x:v>
      </x:c>
      <x:c r="D48" s="16" t="str">
        <x:v>Резино-технические изделия прочие</x:v>
      </x:c>
      <x:c r="E48" s="16" t="str">
        <x:v>ШТ</x:v>
      </x:c>
      <x:c r="F48" s="21" t="n">
        <x:v>2</x:v>
      </x:c>
      <x:c r="G48" s="17" t="n">
        <x:v>253.4184</x:v>
      </x:c>
      <x:c r="H48" s="17" t="n">
        <x:f>G48*F48</x:f>
        <x:v>506.8368</x:v>
      </x:c>
      <x:c r="I48" s="22" t="str">
        <x:f>HYPERLINK("https://etp-aktiv.ru/catalog/materialy/rezino-tekhnicheskie-izdeliya/2000546662-Y114/","Открыть позицию")</x:f>
        <x:v>Открыть позицию</x:v>
      </x:c>
    </x:row>
    <x:row r="49" ht="28" customHeight="1">
      <x:c r="A49" s="16" t="str">
        <x:v>Новосибирская ТЭЦ-5</x:v>
      </x:c>
      <x:c r="B49" s="16" t="str">
        <x:v>2000546973-Y114</x:v>
      </x:c>
      <x:c r="C49" s="16" t="str">
        <x:v>ТЕХПЛАСТ 4,0 1000*1700 1Ф-I -МБС-С Г7338</x:v>
      </x:c>
      <x:c r="D49" s="16" t="str">
        <x:v>Резино-технические изделия прочие</x:v>
      </x:c>
      <x:c r="E49" s="16" t="str">
        <x:v>КГ</x:v>
      </x:c>
      <x:c r="F49" s="30" t="n">
        <x:v>150.8</x:v>
      </x:c>
      <x:c r="G49" s="17" t="n">
        <x:v>46.665</x:v>
      </x:c>
      <x:c r="H49" s="17" t="n">
        <x:f>G49*F49</x:f>
        <x:v>7037.082</x:v>
      </x:c>
      <x:c r="I49" s="22" t="str">
        <x:f>HYPERLINK("https://etp-aktiv.ru/catalog/materialy/rezino-tekhnicheskie-izdeliya/2000546973-Y114/","Открыть позицию")</x:f>
        <x:v>Открыть позицию</x:v>
      </x:c>
    </x:row>
    <x:row r="50" ht="28" customHeight="1">
      <x:c r="A50" s="16" t="str">
        <x:v>Новосибирская ТЭЦ-5</x:v>
      </x:c>
      <x:c r="B50" s="16" t="str">
        <x:v>2000549128-Y114</x:v>
      </x:c>
      <x:c r="C50" s="16" t="str">
        <x:v>ШНУР 60ММ ШТЭ 150-Р</x:v>
      </x:c>
      <x:c r="D50" s="16" t="str">
        <x:v>Теплоизоляция</x:v>
      </x:c>
      <x:c r="E50" s="16" t="str">
        <x:v>М3</x:v>
      </x:c>
      <x:c r="F50" s="30" t="n">
        <x:v>6.644</x:v>
      </x:c>
      <x:c r="G50" s="17" t="n">
        <x:v>3083.6476</x:v>
      </x:c>
      <x:c r="H50" s="17" t="n">
        <x:f>G50*F50</x:f>
        <x:v>20487.7546544</x:v>
      </x:c>
      <x:c r="I50" s="22" t="str">
        <x:f>HYPERLINK("https://etp-aktiv.ru/catalog/materialy/teploizolyaciya/2000549128-Y114/","Открыть позицию")</x:f>
        <x:v>Открыть позицию</x:v>
      </x:c>
    </x:row>
    <x:row r="51" ht="28" customHeight="1">
      <x:c r="A51" s="16" t="str">
        <x:v>Новосибирская ТЭЦ-5</x:v>
      </x:c>
      <x:c r="B51" s="16" t="str">
        <x:v>2000046196-Y114</x:v>
      </x:c>
      <x:c r="C51" s="16" t="str">
        <x:v>ШНУР АСБЕСТ ШАОН 15ММ</x:v>
      </x:c>
      <x:c r="D51" s="16" t="str">
        <x:v>Асбо-технические изделия</x:v>
      </x:c>
      <x:c r="E51" s="16" t="str">
        <x:v>КГ</x:v>
      </x:c>
      <x:c r="F51" s="30" t="n">
        <x:v>10.5</x:v>
      </x:c>
      <x:c r="G51" s="17" t="n">
        <x:v>207.2902</x:v>
      </x:c>
      <x:c r="H51" s="17" t="n">
        <x:f>G51*F51</x:f>
        <x:v>2176.5471</x:v>
      </x:c>
      <x:c r="I51" s="22" t="str">
        <x:f>HYPERLINK("https://etp-aktiv.ru/catalog/materialy/asbo-tekhnicheskie-izdeliya/2000046196-Y114/","Открыть позицию")</x:f>
        <x:v>Открыть позицию</x:v>
      </x:c>
    </x:row>
    <x:row r="52" ht="28" customHeight="1">
      <x:c r="A52" s="16" t="str">
        <x:v>Новосибирская ТЭЦ-5</x:v>
      </x:c>
      <x:c r="B52" s="16" t="str">
        <x:v>2000546760-Y114</x:v>
      </x:c>
      <x:c r="C52" s="16" t="str">
        <x:v>ШНУР РЕЗ 1,2C 22 ГОСТ6467-79</x:v>
      </x:c>
      <x:c r="D52" s="16" t="str">
        <x:v>Резино-технические изделия прочие</x:v>
      </x:c>
      <x:c r="E52" s="16" t="str">
        <x:v>КГ</x:v>
      </x:c>
      <x:c r="F52" s="30" t="n">
        <x:v>21.3</x:v>
      </x:c>
      <x:c r="G52" s="17" t="n">
        <x:v>17.8608</x:v>
      </x:c>
      <x:c r="H52" s="17" t="n">
        <x:f>G52*F52</x:f>
        <x:v>380.43504</x:v>
      </x:c>
      <x:c r="I52" s="22" t="str">
        <x:f>HYPERLINK("https://etp-aktiv.ru/catalog/materialy/rezino-tekhnicheskie-izdeliya/2000546760-Y114/","Открыть позицию")</x:f>
        <x:v>Открыть позицию</x:v>
      </x:c>
    </x:row>
    <x:row r="53" ht="28" customHeight="1">
      <x:c r="A53" s="16" t="str">
        <x:v>Новосибирская теплосетевая компания</x:v>
      </x:c>
      <x:c r="B53" s="16" t="str">
        <x:v>2000160791-Y321</x:v>
      </x:c>
      <x:c r="C53" s="16" t="str">
        <x:v>НАБИВКА 264G 10*10</x:v>
      </x:c>
      <x:c r="D53" s="16" t="str">
        <x:v>Асбо-технические изделия</x:v>
      </x:c>
      <x:c r="E53" s="16" t="str">
        <x:v>КГ</x:v>
      </x:c>
      <x:c r="F53" s="30" t="n">
        <x:v>1.47</x:v>
      </x:c>
      <x:c r="G53" s="17" t="n">
        <x:v>324.76399999999995</x:v>
      </x:c>
      <x:c r="H53" s="17" t="n">
        <x:f>G53*F53</x:f>
        <x:v>477.40307999999993</x:v>
      </x:c>
      <x:c r="I53" s="22" t="str">
        <x:f>HYPERLINK("https://etp-aktiv.ru/catalog/materialy/asbo-tekhnicheskie-izdeliya/2000160791-Y321/","Открыть позицию")</x:f>
        <x:v>Открыть позицию</x:v>
      </x:c>
    </x:row>
    <x:row r="54" ht="28" customHeight="1">
      <x:c r="A54" s="16" t="str">
        <x:v>Новосибирская теплосетевая компания</x:v>
      </x:c>
      <x:c r="B54" s="16" t="str">
        <x:v>2000539301-Y321</x:v>
      </x:c>
      <x:c r="C54" s="16" t="str">
        <x:v>ПРОКЛАДКА А ПОН 20-16</x:v>
      </x:c>
      <x:c r="D54" s="16" t="str">
        <x:v>Асбо-технические изделия</x:v>
      </x:c>
      <x:c r="E54" s="16" t="str">
        <x:v>ШТ</x:v>
      </x:c>
      <x:c r="F54" s="21" t="n">
        <x:v>4</x:v>
      </x:c>
      <x:c r="G54" s="17" t="n">
        <x:v>0.2562</x:v>
      </x:c>
      <x:c r="H54" s="17" t="n">
        <x:f>G54*F54</x:f>
        <x:v>1.0248</x:v>
      </x:c>
      <x:c r="I54" s="22" t="str">
        <x:f>HYPERLINK("https://etp-aktiv.ru/catalog/materialy/asbo-tekhnicheskie-izdeliya/2000539301-Y321/","Открыть позицию")</x:f>
        <x:v>Открыть позицию</x:v>
      </x:c>
    </x:row>
    <x:row r="55" ht="28" customHeight="1">
      <x:c r="A55" s="16" t="str">
        <x:v>Новосибирская теплосетевая компания</x:v>
      </x:c>
      <x:c r="B55" s="16" t="str">
        <x:v>2000590870-Y321</x:v>
      </x:c>
      <x:c r="C55" s="16" t="str">
        <x:v>ПРОКЛАДКА ПРП-40.К-15.400 ГОСТ19177</x:v>
      </x:c>
      <x:c r="D55" s="16" t="str">
        <x:v>Резино-технические изделия прочие</x:v>
      </x:c>
      <x:c r="E55" s="16" t="str">
        <x:v>ПМ</x:v>
      </x:c>
      <x:c r="F55" s="21" t="n">
        <x:v>114</x:v>
      </x:c>
      <x:c r="G55" s="17" t="n">
        <x:v>5.1606000000000005</x:v>
      </x:c>
      <x:c r="H55" s="17" t="n">
        <x:f>G55*F55</x:f>
        <x:v>588.3084</x:v>
      </x:c>
      <x:c r="I55" s="22" t="str">
        <x:f>HYPERLINK("https://etp-aktiv.ru/catalog/materialy/rezino-tekhnicheskie-izdeliya/2000590870-Y321/","Открыть позицию")</x:f>
        <x:v>Открыть позицию</x:v>
      </x:c>
    </x:row>
    <x:row r="56" ht="28" customHeight="1">
      <x:c r="A56" s="16" t="str">
        <x:v>Новосибирская теплосетевая компания</x:v>
      </x:c>
      <x:c r="B56" s="16" t="str">
        <x:v>2000581155-Y321</x:v>
      </x:c>
      <x:c r="C56" s="16" t="str">
        <x:v>ПРОКЛАДКА ПРП-40.К-20.400 ГОСТ19177-81</x:v>
      </x:c>
      <x:c r="D56" s="16" t="str">
        <x:v>Резино-технические изделия прочие</x:v>
      </x:c>
      <x:c r="E56" s="16" t="str">
        <x:v>ПМ</x:v>
      </x:c>
      <x:c r="F56" s="21" t="n">
        <x:v>149</x:v>
      </x:c>
      <x:c r="G56" s="17" t="n">
        <x:v>9.3208</x:v>
      </x:c>
      <x:c r="H56" s="17" t="n">
        <x:f>G56*F56</x:f>
        <x:v>1388.7992</x:v>
      </x:c>
      <x:c r="I56" s="22" t="str">
        <x:f>HYPERLINK("https://etp-aktiv.ru/catalog/materialy/rezino-tekhnicheskie-izdeliya/2000581155-Y321/","Открыть позицию")</x:f>
        <x:v>Открыть позицию</x:v>
      </x:c>
    </x:row>
    <x:row r="57" ht="28" customHeight="1">
      <x:c r="A57" s="16" t="str">
        <x:v>Новосибирская теплосетевая компания</x:v>
      </x:c>
      <x:c r="B57" s="16" t="str">
        <x:v>2000197027-Y321</x:v>
      </x:c>
      <x:c r="C57" s="16" t="str">
        <x:v>РУКАВ НАПОР-ВСАС Б D50 P3 ГОСТ5398-76</x:v>
      </x:c>
      <x:c r="D57" s="16" t="str">
        <x:v>Резино-технические изделия проч специализирован и под заказ</x:v>
      </x:c>
      <x:c r="E57" s="16" t="str">
        <x:v>ПМ</x:v>
      </x:c>
      <x:c r="F57" s="21" t="n">
        <x:v>2</x:v>
      </x:c>
      <x:c r="G57" s="17" t="n">
        <x:v>65.3432</x:v>
      </x:c>
      <x:c r="H57" s="17" t="n">
        <x:f>G57*F57</x:f>
        <x:v>130.6864</x:v>
      </x:c>
      <x:c r="I57" s="22" t="str">
        <x:f>HYPERLINK("https://etp-aktiv.ru/catalog/materialy/rezino-tekhnicheskie-izdeliya/2000197027-Y321/","Открыть позицию")</x:f>
        <x:v>Открыть позицию</x:v>
      </x:c>
    </x:row>
    <x:row r="58" ht="28" customHeight="1">
      <x:c r="A58" s="16" t="str">
        <x:v>Филиал «Тепловые сети»</x:v>
      </x:c>
      <x:c r="B58" s="16" t="str">
        <x:v>2000220938-Y121</x:v>
      </x:c>
      <x:c r="C58" s="16" t="str">
        <x:v>НАБИВКА НГ-301 12*12ММ</x:v>
      </x:c>
      <x:c r="D58" s="16" t="str">
        <x:v>Асбо-технические изделия</x:v>
      </x:c>
      <x:c r="E58" s="16" t="str">
        <x:v>КГ</x:v>
      </x:c>
      <x:c r="F58" s="30" t="n">
        <x:v>2.2</x:v>
      </x:c>
      <x:c r="G58" s="17" t="n">
        <x:v>200.47039999999998</x:v>
      </x:c>
      <x:c r="H58" s="17" t="n">
        <x:f>G58*F58</x:f>
        <x:v>441.03488</x:v>
      </x:c>
      <x:c r="I58" s="22" t="str">
        <x:f>HYPERLINK("https://etp-aktiv.ru/catalog/materialy/asbo-tekhnicheskie-izdeliya/2000220938-Y121/","Открыть позицию")</x:f>
        <x:v>Открыть позицию</x:v>
      </x:c>
    </x:row>
    <x:row r="59" ht="28" customHeight="1">
      <x:c r="A59" s="16" t="str">
        <x:v>Филиал «Тепловые сети»</x:v>
      </x:c>
      <x:c r="B59" s="16" t="str">
        <x:v>2000539258-Y121</x:v>
      </x:c>
      <x:c r="C59" s="16" t="str">
        <x:v>НАБИВКА САЛЬНИКОВАЯ ГЕРМОРУМ С-500 10*10</x:v>
      </x:c>
      <x:c r="D59" s="16" t="str">
        <x:v>Асбо-технические изделия</x:v>
      </x:c>
      <x:c r="E59" s="16" t="str">
        <x:v>КГ</x:v>
      </x:c>
      <x:c r="F59" s="30" t="n">
        <x:v>2.2</x:v>
      </x:c>
      <x:c r="G59" s="17" t="n">
        <x:v>468.5532</x:v>
      </x:c>
      <x:c r="H59" s="17" t="n">
        <x:f>G59*F59</x:f>
        <x:v>1030.8170400000001</x:v>
      </x:c>
      <x:c r="I59" s="22" t="str">
        <x:f>HYPERLINK("https://etp-aktiv.ru/catalog/materialy/asbo-tekhnicheskie-izdeliya/2000539258-Y121/","Открыть позицию")</x:f>
        <x:v>Открыть позицию</x:v>
      </x:c>
    </x:row>
    <x:row r="60" ht="28" customHeight="1">
      <x:c r="A60" s="16" t="str">
        <x:v>Филиал «Тепловые сети»</x:v>
      </x:c>
      <x:c r="B60" s="16" t="str">
        <x:v>2000539259-Y121</x:v>
      </x:c>
      <x:c r="C60" s="16" t="str">
        <x:v>НАБИВКА САЛЬНИКОВАЯ ГЕРМОРУМ С-500 13*13</x:v>
      </x:c>
      <x:c r="D60" s="16" t="str">
        <x:v>Асбо-технические изделия</x:v>
      </x:c>
      <x:c r="E60" s="16" t="str">
        <x:v>КГ</x:v>
      </x:c>
      <x:c r="F60" s="30" t="n">
        <x:v>2.2</x:v>
      </x:c>
      <x:c r="G60" s="17" t="n">
        <x:v>468.5532</x:v>
      </x:c>
      <x:c r="H60" s="17" t="n">
        <x:f>G60*F60</x:f>
        <x:v>1030.8170400000001</x:v>
      </x:c>
      <x:c r="I60" s="22" t="str">
        <x:f>HYPERLINK("https://etp-aktiv.ru/catalog/materialy/asbo-tekhnicheskie-izdeliya/2000539259-Y121/","Открыть позицию")</x:f>
        <x:v>Открыть позицию</x:v>
      </x:c>
    </x:row>
    <x:row r="61" ht="28" customHeight="1">
      <x:c r="A61" s="16" t="str">
        <x:v>Филиал «Тепловые сети»</x:v>
      </x:c>
      <x:c r="B61" s="16" t="str">
        <x:v>2000546632-Y121</x:v>
      </x:c>
      <x:c r="C61" s="16" t="str">
        <x:v>РЕМЕНЬ А 2120</x:v>
      </x:c>
      <x:c r="D61" s="16" t="str">
        <x:v>Резино-технические изделия прочие</x:v>
      </x:c>
      <x:c r="E61" s="16" t="str">
        <x:v>ШТ</x:v>
      </x:c>
      <x:c r="F61" s="21" t="n">
        <x:v>28</x:v>
      </x:c>
      <x:c r="G61" s="17" t="n">
        <x:v>10.491999999999999</x:v>
      </x:c>
      <x:c r="H61" s="17" t="n">
        <x:f>G61*F61</x:f>
        <x:v>293.77599999999995</x:v>
      </x:c>
      <x:c r="I61" s="22" t="str">
        <x:f>HYPERLINK("https://etp-aktiv.ru/catalog/materialy/rezino-tekhnicheskie-izdeliya/2000546632-Y121/","Открыть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ba9bbdbafb704ace"/>
  </x:tableParts>
</x:worksheet>
</file>

<file path=xl/worksheets/sheet17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Химические материалы, ЛКМ и лаборатория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2000547611-Y115</x:v>
      </x:c>
      <x:c r="C5" s="16" t="str">
        <x:v>КАРТОН ФИЛЬТРОВАЛЬНЫЙ 1100/1100 ГОСТ6722</x:v>
      </x:c>
      <x:c r="D5" s="16" t="str">
        <x:v>Химические материалы прочие</x:v>
      </x:c>
      <x:c r="E5" s="16" t="str">
        <x:v>КГ</x:v>
      </x:c>
      <x:c r="F5" s="21" t="n">
        <x:v>20</x:v>
      </x:c>
      <x:c r="G5" s="17" t="n">
        <x:v>43.9444</x:v>
      </x:c>
      <x:c r="H5" s="17" t="n">
        <x:f>G5*F5</x:f>
        <x:v>878.888</x:v>
      </x:c>
      <x:c r="I5" s="22" t="str">
        <x:f>HYPERLINK("https://etp-aktiv.ru/catalog/materialy/himicheskaya-produkciya/2000547611-Y115/","Открыть позицию")</x:f>
        <x:v>Открыть позицию</x:v>
      </x:c>
    </x:row>
    <x:row r="6" ht="28" customHeight="1">
      <x:c r="A6" s="16" t="str">
        <x:v>Барабинская ТЭЦ</x:v>
      </x:c>
      <x:c r="B6" s="16" t="str">
        <x:v>2000301727-Y115</x:v>
      </x:c>
      <x:c r="C6" s="16" t="str">
        <x:v>КСИЛОЛ НЕФТЯНОЙ А ГОСТ9410-78</x:v>
      </x:c>
      <x:c r="D6" s="16" t="str">
        <x:v>Лакокрасочные материалы</x:v>
      </x:c>
      <x:c r="E6" s="16" t="str">
        <x:v>Л</x:v>
      </x:c>
      <x:c r="F6" s="30" t="n">
        <x:v>21.5</x:v>
      </x:c>
      <x:c r="G6" s="17" t="n">
        <x:v>52.8992</x:v>
      </x:c>
      <x:c r="H6" s="17" t="n">
        <x:f>G6*F6</x:f>
        <x:v>1137.3328</x:v>
      </x:c>
      <x:c r="I6" s="22" t="str">
        <x:f>HYPERLINK("https://etp-aktiv.ru/catalog/materialy/lakokrasochnye-materialy/2000301727-Y115/","Открыть позицию")</x:f>
        <x:v>Открыть позицию</x:v>
      </x:c>
    </x:row>
    <x:row r="7" ht="28" customHeight="1">
      <x:c r="A7" s="16" t="str">
        <x:v>Барабинская ТЭЦ</x:v>
      </x:c>
      <x:c r="B7" s="16" t="str">
        <x:v>2000530689-Y115</x:v>
      </x:c>
      <x:c r="C7" s="16" t="str">
        <x:v>ТРУБКА ИНД СЕРНАЯ КИСЛОТА 0,5-5,0МГ/М3</x:v>
      </x:c>
      <x:c r="D7" s="16" t="str">
        <x:v>Химические реактивы</x:v>
      </x:c>
      <x:c r="E7" s="16" t="str">
        <x:v>ШТ</x:v>
      </x:c>
      <x:c r="F7" s="21" t="n">
        <x:v>9</x:v>
      </x:c>
      <x:c r="G7" s="17" t="n">
        <x:v>288.835</x:v>
      </x:c>
      <x:c r="H7" s="17" t="n">
        <x:f>G7*F7</x:f>
        <x:v>2599.515</x:v>
      </x:c>
      <x:c r="I7" s="22" t="str">
        <x:f>HYPERLINK("https://etp-aktiv.ru/catalog/materialy/himicheskaya-produkciya/2000530689-Y115/","Открыть позицию")</x:f>
        <x:v>Открыть позицию</x:v>
      </x:c>
    </x:row>
    <x:row r="8" ht="28" customHeight="1">
      <x:c r="A8" s="16" t="str">
        <x:v>Барабинская ТЭЦ</x:v>
      </x:c>
      <x:c r="B8" s="16" t="str">
        <x:v>2000355909-Y115</x:v>
      </x:c>
      <x:c r="C8" s="16" t="str">
        <x:v>ТРУБКА СИЛИКОНОВАЯ 6*2ММ</x:v>
      </x:c>
      <x:c r="D8" s="16" t="str">
        <x:v>Химическая посуда</x:v>
      </x:c>
      <x:c r="E8" s="16" t="str">
        <x:v>КГ</x:v>
      </x:c>
      <x:c r="F8" s="29" t="n">
        <x:v>0.25</x:v>
      </x:c>
      <x:c r="G8" s="17" t="n">
        <x:v>594.2620000000001</x:v>
      </x:c>
      <x:c r="H8" s="17" t="n">
        <x:f>G8*F8</x:f>
        <x:v>148.56550000000001</x:v>
      </x:c>
      <x:c r="I8" s="22" t="str">
        <x:f>HYPERLINK("https://etp-aktiv.ru/catalog/materialy/mebel-i-bytovaya-tekhnika/2000355909-Y115/","Открыть позицию")</x:f>
        <x:v>Открыть позицию</x:v>
      </x:c>
    </x:row>
    <x:row r="9" ht="28" customHeight="1">
      <x:c r="A9" s="16" t="str">
        <x:v>Новосибирская ТЭЦ-2</x:v>
      </x:c>
      <x:c r="B9" s="16" t="str">
        <x:v>2000862553-Y111</x:v>
      </x:c>
      <x:c r="C9" s="16" t="str">
        <x:v>ГРАФИТ СМАЗОЧНЫЙ ГС-1 ГОСТ8295-73</x:v>
      </x:c>
      <x:c r="D9" s="16" t="str">
        <x:v>Химические материалы прочие</x:v>
      </x:c>
      <x:c r="E9" s="16" t="str">
        <x:v>КГ</x:v>
      </x:c>
      <x:c r="F9" s="21" t="n">
        <x:v>1</x:v>
      </x:c>
      <x:c r="G9" s="17" t="n">
        <x:v>1220</x:v>
      </x:c>
      <x:c r="H9" s="17" t="n">
        <x:f>G9*F9</x:f>
        <x:v>1220</x:v>
      </x:c>
      <x:c r="I9" s="22" t="str">
        <x:f>HYPERLINK("https://etp-aktiv.ru/catalog/materialy/himicheskaya-produkciya/2000862553-Y111/","Открыть позицию")</x:f>
        <x:v>Открыть позицию</x:v>
      </x:c>
    </x:row>
    <x:row r="10" ht="28" customHeight="1">
      <x:c r="A10" s="16" t="str">
        <x:v>Новосибирская ТЭЦ-2</x:v>
      </x:c>
      <x:c r="B10" s="16" t="str">
        <x:v>2000547644-Y111</x:v>
      </x:c>
      <x:c r="C10" s="16" t="str">
        <x:v>ОТВЕРДИТЕЛЬ N1 ТУ6-10-1263</x:v>
      </x:c>
      <x:c r="D10" s="16" t="str">
        <x:v>Химические материалы прочие</x:v>
      </x:c>
      <x:c r="E10" s="16" t="str">
        <x:v>КГ</x:v>
      </x:c>
      <x:c r="F10" s="21" t="n">
        <x:v>2</x:v>
      </x:c>
      <x:c r="G10" s="17" t="n">
        <x:v>1991.955</x:v>
      </x:c>
      <x:c r="H10" s="17" t="n">
        <x:f>G10*F10</x:f>
        <x:v>3983.91</x:v>
      </x:c>
      <x:c r="I10" s="22" t="str">
        <x:f>HYPERLINK("https://etp-aktiv.ru/catalog/materialy/himicheskaya-produkciya/2000547644-Y111/","Открыть позицию")</x:f>
        <x:v>Открыть позицию</x:v>
      </x:c>
    </x:row>
    <x:row r="11" ht="28" customHeight="1">
      <x:c r="A11" s="16" t="str">
        <x:v>Новосибирская ТЭЦ-2</x:v>
      </x:c>
      <x:c r="B11" s="16" t="str">
        <x:v>2000556149-Y111</x:v>
      </x:c>
      <x:c r="C11" s="16" t="str">
        <x:v>ПАРАФИН Т-1 ГОСТ23683-89</x:v>
      </x:c>
      <x:c r="D11" s="16" t="str">
        <x:v>Химические материалы прочие</x:v>
      </x:c>
      <x:c r="E11" s="16" t="str">
        <x:v>КГ</x:v>
      </x:c>
      <x:c r="F11" s="29" t="n">
        <x:v>0.5</x:v>
      </x:c>
      <x:c r="G11" s="17" t="n">
        <x:v>791.475</x:v>
      </x:c>
      <x:c r="H11" s="17" t="n">
        <x:f>G11*F11</x:f>
        <x:v>395.7375</x:v>
      </x:c>
      <x:c r="I11" s="22" t="str">
        <x:f>HYPERLINK("https://etp-aktiv.ru/catalog/materialy/himicheskaya-produkciya/2000556149-Y111/","Открыть позицию")</x:f>
        <x:v>Открыть позицию</x:v>
      </x:c>
    </x:row>
    <x:row r="12" ht="28" customHeight="1">
      <x:c r="A12" s="16" t="str">
        <x:v>Новосибирская ТЭЦ-2</x:v>
      </x:c>
      <x:c r="B12" s="16" t="str">
        <x:v>2000547712-Y111</x:v>
      </x:c>
      <x:c r="C12" s="16" t="str">
        <x:v>СМОЛА ЭПОКСИДНАЯ ЭД-16 ГОСТ10587-84</x:v>
      </x:c>
      <x:c r="D12" s="16" t="str">
        <x:v>Химические материалы прочие</x:v>
      </x:c>
      <x:c r="E12" s="16" t="str">
        <x:v>КГ</x:v>
      </x:c>
      <x:c r="F12" s="30" t="n">
        <x:v>2.5</x:v>
      </x:c>
      <x:c r="G12" s="17" t="n">
        <x:v>607.682</x:v>
      </x:c>
      <x:c r="H12" s="17" t="n">
        <x:f>G12*F12</x:f>
        <x:v>1519.205</x:v>
      </x:c>
      <x:c r="I12" s="22" t="str">
        <x:f>HYPERLINK("https://etp-aktiv.ru/catalog/materialy/himicheskaya-produkciya/2000547712-Y111/","Открыть позицию")</x:f>
        <x:v>Открыть позицию</x:v>
      </x:c>
    </x:row>
    <x:row r="13" ht="28" customHeight="1">
      <x:c r="A13" s="16" t="str">
        <x:v>Новосибирская ТЭЦ-3</x:v>
      </x:c>
      <x:c r="B13" s="16" t="str">
        <x:v>2000547602-Y112</x:v>
      </x:c>
      <x:c r="C13" s="16" t="str">
        <x:v>ГРАФИТ КРИСТАЛИЧЕСК МАРКИ П ГОСТ17022-81</x:v>
      </x:c>
      <x:c r="D13" s="16" t="str">
        <x:v>Химические материалы прочие</x:v>
      </x:c>
      <x:c r="E13" s="16" t="str">
        <x:v>КГ</x:v>
      </x:c>
      <x:c r="F13" s="30" t="n">
        <x:v>20.57</x:v>
      </x:c>
      <x:c r="G13" s="17" t="n">
        <x:v>345.02819999999997</x:v>
      </x:c>
      <x:c r="H13" s="17" t="n">
        <x:f>G13*F13</x:f>
        <x:v>7097.230073999999</x:v>
      </x:c>
      <x:c r="I13" s="22" t="str">
        <x:f>HYPERLINK("https://etp-aktiv.ru/catalog/materialy/himicheskaya-produkciya/2000547602-Y112/","Открыть позицию")</x:f>
        <x:v>Открыть позицию</x:v>
      </x:c>
    </x:row>
    <x:row r="14" ht="28" customHeight="1">
      <x:c r="A14" s="16" t="str">
        <x:v>Новосибирская ТЭЦ-4</x:v>
      </x:c>
      <x:c r="B14" s="16" t="str">
        <x:v>2000844459-Y113</x:v>
      </x:c>
      <x:c r="C14" s="16" t="str">
        <x:v>МАСЛО G-BOX EXPERT ATF DX 3 20Л</x:v>
      </x:c>
      <x:c r="D14" s="16" t="str">
        <x:v>Другие смазочные материалы и тех.жидкости</x:v>
      </x:c>
      <x:c r="E14" s="16" t="str">
        <x:v>ШТ</x:v>
      </x:c>
      <x:c r="F14" s="21" t="n">
        <x:v>2</x:v>
      </x:c>
      <x:c r="G14" s="17" t="n">
        <x:v>1833.3916</x:v>
      </x:c>
      <x:c r="H14" s="17" t="n">
        <x:f>G14*F14</x:f>
        <x:v>3666.7832</x:v>
      </x:c>
      <x:c r="I14" s="22" t="str">
        <x:f>HYPERLINK("https://etp-aktiv.ru/catalog/materialy/gsm/2000844459-Y113/","Открыть позицию")</x:f>
        <x:v>Открыть позицию</x:v>
      </x:c>
    </x:row>
    <x:row r="15" ht="28" customHeight="1">
      <x:c r="A15" s="16" t="str">
        <x:v>Новосибирская ТЭЦ-5</x:v>
      </x:c>
      <x:c r="B15" s="16" t="str">
        <x:v>2000291750-Y114</x:v>
      </x:c>
      <x:c r="C15" s="16" t="str">
        <x:v>ОЛОВО Ч ГРАНУЛИРОВАННОЕ ТУ6-09-2704-88</x:v>
      </x:c>
      <x:c r="D15" s="16" t="str">
        <x:v>Химические реактивы</x:v>
      </x:c>
      <x:c r="E15" s="16" t="str">
        <x:v>КГ</x:v>
      </x:c>
      <x:c r="F15" s="30" t="n">
        <x:v>31.3</x:v>
      </x:c>
      <x:c r="G15" s="17" t="n">
        <x:v>4453</x:v>
      </x:c>
      <x:c r="H15" s="17" t="n">
        <x:f>G15*F15</x:f>
        <x:v>139378.9</x:v>
      </x:c>
      <x:c r="I15" s="22" t="str">
        <x:f>HYPERLINK("https://etp-aktiv.ru/catalog/materialy/himicheskaya-produkciya/2000291750-Y114/","Открыть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6b0aa09065704e24"/>
  </x:tableParts>
</x:worksheet>
</file>

<file path=xl/worksheets/sheet18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Электрика и кабель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2000149534-Y115</x:v>
      </x:c>
      <x:c r="C5" s="16" t="str">
        <x:v>АВТОМАТ ВА 47-100 100А 1P C</x:v>
      </x:c>
      <x:c r="D5" s="16" t="str">
        <x:v>Низковольтная аппаратура и запасные части</x:v>
      </x:c>
      <x:c r="E5" s="16" t="str">
        <x:v>ШТ</x:v>
      </x:c>
      <x:c r="F5" s="21" t="n">
        <x:v>1</x:v>
      </x:c>
      <x:c r="G5" s="17" t="n">
        <x:v>33.3182</x:v>
      </x:c>
      <x:c r="H5" s="17" t="n">
        <x:f>G5*F5</x:f>
        <x:v>33.3182</x:v>
      </x:c>
      <x:c r="I5" s="22" t="str">
        <x:f>HYPERLINK("https://etp-aktiv.ru/catalog/materialy/nizkovoltnaya-apparatura-i-zapasnye-chasti/2000149534-Y115/","Открыть позицию")</x:f>
        <x:v>Открыть позицию</x:v>
      </x:c>
    </x:row>
    <x:row r="6" ht="28" customHeight="1">
      <x:c r="A6" s="16" t="str">
        <x:v>Барабинская ТЭЦ</x:v>
      </x:c>
      <x:c r="B6" s="16" t="str">
        <x:v>2000549358-Y115</x:v>
      </x:c>
      <x:c r="C6" s="16" t="str">
        <x:v>АДАПТЕР Т10.00.92 USB/RS-232 T20</x:v>
      </x:c>
      <x:c r="D6" s="16" t="str">
        <x:v>Изделия радиоэлектронной техники</x:v>
      </x:c>
      <x:c r="E6" s="16" t="str">
        <x:v>ШТ</x:v>
      </x:c>
      <x:c r="F6" s="21" t="n">
        <x:v>1</x:v>
      </x:c>
      <x:c r="G6" s="17" t="n">
        <x:v>386.47159999999997</x:v>
      </x:c>
      <x:c r="H6" s="17" t="n">
        <x:f>G6*F6</x:f>
        <x:v>386.47159999999997</x:v>
      </x:c>
      <x:c r="I6" s="22" t="str">
        <x:f>HYPERLINK("https://etp-aktiv.ru/catalog/materialy/prochie-materialy/2000549358-Y115/","Открыть позицию")</x:f>
        <x:v>Открыть позицию</x:v>
      </x:c>
    </x:row>
    <x:row r="7" ht="28" customHeight="1">
      <x:c r="A7" s="16" t="str">
        <x:v>Барабинская ТЭЦ</x:v>
      </x:c>
      <x:c r="B7" s="16" t="str">
        <x:v>2000535297-Y115</x:v>
      </x:c>
      <x:c r="C7" s="16" t="str">
        <x:v>ВЫКЛЮЧАТЕЛЬ АЕ 1031М-2 УХЛ4 16А</x:v>
      </x:c>
      <x:c r="D7" s="16" t="str">
        <x:v>Низковольтная аппаратура и запасные части</x:v>
      </x:c>
      <x:c r="E7" s="16" t="str">
        <x:v>ШТ</x:v>
      </x:c>
      <x:c r="F7" s="21" t="n">
        <x:v>13</x:v>
      </x:c>
      <x:c r="G7" s="17" t="n">
        <x:v>9.918600000000001</x:v>
      </x:c>
      <x:c r="H7" s="17" t="n">
        <x:f>G7*F7</x:f>
        <x:v>128.94180000000003</x:v>
      </x:c>
      <x:c r="I7" s="22" t="str">
        <x:f>HYPERLINK("https://etp-aktiv.ru/catalog/materialy/nizkovoltnaya-apparatura-i-zapasnye-chasti/2000535297-Y115/","Открыть позицию")</x:f>
        <x:v>Открыть позицию</x:v>
      </x:c>
    </x:row>
    <x:row r="8" ht="28" customHeight="1">
      <x:c r="A8" s="16" t="str">
        <x:v>Барабинская ТЭЦ</x:v>
      </x:c>
      <x:c r="B8" s="16" t="str">
        <x:v>2000165421-Y115</x:v>
      </x:c>
      <x:c r="C8" s="16" t="str">
        <x:v>ИЗОФЛЕКС 191 0,13ММ</x:v>
      </x:c>
      <x:c r="D8" s="16" t="str">
        <x:v>Электроизоляционные материалы</x:v>
      </x:c>
      <x:c r="E8" s="16" t="str">
        <x:v>КГ</x:v>
      </x:c>
      <x:c r="F8" s="21" t="n">
        <x:v>7</x:v>
      </x:c>
      <x:c r="G8" s="17" t="n">
        <x:v>122</x:v>
      </x:c>
      <x:c r="H8" s="17" t="n">
        <x:f>G8*F8</x:f>
        <x:v>854</x:v>
      </x:c>
      <x:c r="I8" s="22" t="str">
        <x:f>HYPERLINK("https://etp-aktiv.ru/catalog/materialy/ehlektroizolyacionnye-materialy/2000165421-Y115/","Открыть позицию")</x:f>
        <x:v>Открыть позицию</x:v>
      </x:c>
    </x:row>
    <x:row r="9" ht="28" customHeight="1">
      <x:c r="A9" s="16" t="str">
        <x:v>Барабинская ТЭЦ</x:v>
      </x:c>
      <x:c r="B9" s="16" t="str">
        <x:v>2000688371-Y115</x:v>
      </x:c>
      <x:c r="C9" s="16" t="str">
        <x:v>КАБЕЛЬ КВВГЭНГ-LS 7*4 0,66КВ</x:v>
      </x:c>
      <x:c r="D9" s="16" t="str">
        <x:v>Кабель общепромышленный и провод</x:v>
      </x:c>
      <x:c r="E9" s="16" t="str">
        <x:v>КМ</x:v>
      </x:c>
      <x:c r="F9" s="29" t="n">
        <x:v>0.045</x:v>
      </x:c>
      <x:c r="G9" s="17" t="n">
        <x:v>278465</x:v>
      </x:c>
      <x:c r="H9" s="17" t="n">
        <x:f>G9*F9</x:f>
        <x:v>12530.925</x:v>
      </x:c>
      <x:c r="I9" s="22" t="str">
        <x:f>HYPERLINK("https://etp-aktiv.ru/catalog/materialy/kabelno-provodnikovaya-produkciya/2000688371-Y115/","Открыть позицию")</x:f>
        <x:v>Открыть позицию</x:v>
      </x:c>
    </x:row>
    <x:row r="10" ht="28" customHeight="1">
      <x:c r="A10" s="16" t="str">
        <x:v>Барабинская ТЭЦ</x:v>
      </x:c>
      <x:c r="B10" s="16" t="str">
        <x:v>2000549373-Y115</x:v>
      </x:c>
      <x:c r="C10" s="16" t="str">
        <x:v>КОРПУС ЗАЩИТНЫЙ ПЛАСТИК С ФЛАНЦЕМ G313MF</x:v>
      </x:c>
      <x:c r="D10" s="16" t="str">
        <x:v>Изделия радиоэлектронной техники</x:v>
      </x:c>
      <x:c r="E10" s="16" t="str">
        <x:v>ШТ</x:v>
      </x:c>
      <x:c r="F10" s="21" t="n">
        <x:v>4</x:v>
      </x:c>
      <x:c r="G10" s="17" t="n">
        <x:v>64.05</x:v>
      </x:c>
      <x:c r="H10" s="17" t="n">
        <x:f>G10*F10</x:f>
        <x:v>256.2</x:v>
      </x:c>
      <x:c r="I10" s="22" t="str">
        <x:f>HYPERLINK("https://etp-aktiv.ru/catalog/materialy/prochie-materialy/2000549373-Y115/","Открыть позицию")</x:f>
        <x:v>Открыть позицию</x:v>
      </x:c>
    </x:row>
    <x:row r="11" ht="28" customHeight="1">
      <x:c r="A11" s="16" t="str">
        <x:v>Барабинская ТЭЦ</x:v>
      </x:c>
      <x:c r="B11" s="16" t="str">
        <x:v>2000556113-Y115</x:v>
      </x:c>
      <x:c r="C11" s="16" t="str">
        <x:v>ЛЕНТА ТАФТЯНАЯ ЛЭ-25-38 25ММ</x:v>
      </x:c>
      <x:c r="D11" s="16" t="str">
        <x:v>Электроизоляционные материалы</x:v>
      </x:c>
      <x:c r="E11" s="16" t="str">
        <x:v>М</x:v>
      </x:c>
      <x:c r="F11" s="21" t="n">
        <x:v>200</x:v>
      </x:c>
      <x:c r="G11" s="17" t="n">
        <x:v>2.013</x:v>
      </x:c>
      <x:c r="H11" s="17" t="n">
        <x:f>G11*F11</x:f>
        <x:v>402.59999999999997</x:v>
      </x:c>
      <x:c r="I11" s="22" t="str">
        <x:f>HYPERLINK("https://etp-aktiv.ru/catalog/materialy/ehlektroizolyacionnye-materialy/2000556113-Y115/","Открыть позицию")</x:f>
        <x:v>Открыть позицию</x:v>
      </x:c>
    </x:row>
    <x:row r="12" ht="28" customHeight="1">
      <x:c r="A12" s="16" t="str">
        <x:v>Барабинская ТЭЦ</x:v>
      </x:c>
      <x:c r="B12" s="16" t="str">
        <x:v>2000548548-Y115</x:v>
      </x:c>
      <x:c r="C12" s="16" t="str">
        <x:v>ЛЕНТА ЭЛМИКАТЕРМ 524019 0,13*20ММ</x:v>
      </x:c>
      <x:c r="D12" s="16" t="str">
        <x:v>Электроизоляционные материалы</x:v>
      </x:c>
      <x:c r="E12" s="16" t="str">
        <x:v>КГ</x:v>
      </x:c>
      <x:c r="F12" s="30" t="n">
        <x:v>30.55</x:v>
      </x:c>
      <x:c r="G12" s="17" t="n">
        <x:v>1015.6622</x:v>
      </x:c>
      <x:c r="H12" s="17" t="n">
        <x:f>G12*F12</x:f>
        <x:v>31028.48021</x:v>
      </x:c>
      <x:c r="I12" s="22" t="str">
        <x:f>HYPERLINK("https://etp-aktiv.ru/catalog/materialy/ehlektroizolyacionnye-materialy/2000548548-Y115/","Открыть позицию")</x:f>
        <x:v>Открыть позицию</x:v>
      </x:c>
    </x:row>
    <x:row r="13" ht="28" customHeight="1">
      <x:c r="A13" s="16" t="str">
        <x:v>Барабинская ТЭЦ</x:v>
      </x:c>
      <x:c r="B13" s="16" t="str">
        <x:v>5000037433-Y115</x:v>
      </x:c>
      <x:c r="C13" s="16" t="str">
        <x:v>МИНИТЕРМОМЕТР ЭЛЕКТРОН TESTO 905-Т1</x:v>
      </x:c>
      <x:c r="D13" s="16" t="str">
        <x:v>Приборы КИПиА</x:v>
      </x:c>
      <x:c r="E13" s="16" t="str">
        <x:v>ШТ</x:v>
      </x:c>
      <x:c r="F13" s="21" t="n">
        <x:v>1</x:v>
      </x:c>
      <x:c r="G13" s="17" t="n">
        <x:v>545.9499999999999</x:v>
      </x:c>
      <x:c r="H13" s="17" t="n">
        <x:f>G13*F13</x:f>
        <x:v>545.9499999999999</x:v>
      </x:c>
      <x:c r="I13" s="22" t="str">
        <x:f>HYPERLINK("https://etp-aktiv.ru/catalog/materialy/zapasnye-chasti-i-prinadlezhnosti-dlya-priborov-kipia/5000037433-Y115/","Открыть позицию")</x:f>
        <x:v>Открыть позицию</x:v>
      </x:c>
    </x:row>
    <x:row r="14" ht="28" customHeight="1">
      <x:c r="A14" s="16" t="str">
        <x:v>Барабинская ТЭЦ</x:v>
      </x:c>
      <x:c r="B14" s="16" t="str">
        <x:v>2000532872-Y115</x:v>
      </x:c>
      <x:c r="C14" s="16" t="str">
        <x:v>МУФТА РАЗВЕТВИТЕЛЬНАЯ ССД 2МРП 0,2/0,3</x:v>
      </x:c>
      <x:c r="D14" s="16" t="str">
        <x:v>Монтажные изделия для кабельной продукции</x:v>
      </x:c>
      <x:c r="E14" s="16" t="str">
        <x:v>ШТ</x:v>
      </x:c>
      <x:c r="F14" s="21" t="n">
        <x:v>45</x:v>
      </x:c>
      <x:c r="G14" s="17" t="n">
        <x:v>6.6856</x:v>
      </x:c>
      <x:c r="H14" s="17" t="n">
        <x:f>G14*F14</x:f>
        <x:v>300.852</x:v>
      </x:c>
      <x:c r="I14" s="22" t="str">
        <x:f>HYPERLINK("https://etp-aktiv.ru/catalog/materialy/ehlektrotekhnicheskie-materialy/2000532872-Y115/","Открыть позицию")</x:f>
        <x:v>Открыть позицию</x:v>
      </x:c>
    </x:row>
    <x:row r="15" ht="28" customHeight="1">
      <x:c r="A15" s="16" t="str">
        <x:v>Барабинская ТЭЦ</x:v>
      </x:c>
      <x:c r="B15" s="16" t="str">
        <x:v>2000736193-Y115</x:v>
      </x:c>
      <x:c r="C15" s="16" t="str">
        <x:v>НАКЛЕЙКА ТЕРМОИНДИКАТ EXP-TI-70-100 10ШТ</x:v>
      </x:c>
      <x:c r="D15" s="16" t="str">
        <x:v>Запасные части и принадлежности для приборов КИПиА</x:v>
      </x:c>
      <x:c r="E15" s="16" t="str">
        <x:v>ШТ</x:v>
      </x:c>
      <x:c r="F15" s="21" t="n">
        <x:v>20</x:v>
      </x:c>
      <x:c r="G15" s="17" t="n">
        <x:v>163.9436</x:v>
      </x:c>
      <x:c r="H15" s="17" t="n">
        <x:f>G15*F15</x:f>
        <x:v>3278.8720000000003</x:v>
      </x:c>
      <x:c r="I15" s="22" t="str">
        <x:f>HYPERLINK("https://etp-aktiv.ru/catalog/materialy/zapasnye-chasti-i-prinadlezhnosti-dlya-priborov-kipia/2000736193-Y115/","Открыть позицию")</x:f>
        <x:v>Открыть позицию</x:v>
      </x:c>
    </x:row>
    <x:row r="16" ht="28" customHeight="1">
      <x:c r="A16" s="16" t="str">
        <x:v>Барабинская ТЭЦ</x:v>
      </x:c>
      <x:c r="B16" s="16" t="str">
        <x:v>2000532923-Y115</x:v>
      </x:c>
      <x:c r="C16" s="16" t="str">
        <x:v>НАКОНЕЧНИК БОЛТОВОЙ 2НБ 70/120</x:v>
      </x:c>
      <x:c r="D16" s="16" t="str">
        <x:v>Монтажные изделия для кабельной продукции</x:v>
      </x:c>
      <x:c r="E16" s="16" t="str">
        <x:v>ШТ</x:v>
      </x:c>
      <x:c r="F16" s="21" t="n">
        <x:v>3</x:v>
      </x:c>
      <x:c r="G16" s="17" t="n">
        <x:v>31.5736</x:v>
      </x:c>
      <x:c r="H16" s="17" t="n">
        <x:f>G16*F16</x:f>
        <x:v>94.7208</x:v>
      </x:c>
      <x:c r="I16" s="22" t="str">
        <x:f>HYPERLINK("https://etp-aktiv.ru/catalog/materialy/ehlektrotekhnicheskie-materialy/2000532923-Y115/","Открыть позицию")</x:f>
        <x:v>Открыть позицию</x:v>
      </x:c>
    </x:row>
    <x:row r="17" ht="28" customHeight="1">
      <x:c r="A17" s="16" t="str">
        <x:v>Барабинская ТЭЦ</x:v>
      </x:c>
      <x:c r="B17" s="16" t="str">
        <x:v>2000141253-Y115</x:v>
      </x:c>
      <x:c r="C17" s="16" t="str">
        <x:v>НАКОНЕЧНИК ТА 25-8-7</x:v>
      </x:c>
      <x:c r="D17" s="16" t="str">
        <x:v>Монтажные изделия для кабельной продукции</x:v>
      </x:c>
      <x:c r="E17" s="16" t="str">
        <x:v>ШТ</x:v>
      </x:c>
      <x:c r="F17" s="21" t="n">
        <x:v>3</x:v>
      </x:c>
      <x:c r="G17" s="17" t="n">
        <x:v>12.81</x:v>
      </x:c>
      <x:c r="H17" s="17" t="n">
        <x:f>G17*F17</x:f>
        <x:v>38.43</x:v>
      </x:c>
      <x:c r="I17" s="22" t="str">
        <x:f>HYPERLINK("https://etp-aktiv.ru/catalog/materialy/ehlektrotekhnicheskie-materialy/2000141253-Y115/","Открыть позицию")</x:f>
        <x:v>Открыть позицию</x:v>
      </x:c>
    </x:row>
    <x:row r="18" ht="28" customHeight="1">
      <x:c r="A18" s="16" t="str">
        <x:v>Барабинская ТЭЦ</x:v>
      </x:c>
      <x:c r="B18" s="16" t="str">
        <x:v>2000141262-Y115</x:v>
      </x:c>
      <x:c r="C18" s="16" t="str">
        <x:v>НАКОНЕЧНИК ТМ 50-10-9</x:v>
      </x:c>
      <x:c r="D18" s="16" t="str">
        <x:v>Монтажные изделия для кабельной продукции</x:v>
      </x:c>
      <x:c r="E18" s="16" t="str">
        <x:v>ШТ</x:v>
      </x:c>
      <x:c r="F18" s="21" t="n">
        <x:v>12</x:v>
      </x:c>
      <x:c r="G18" s="17" t="n">
        <x:v>51.081399999999995</x:v>
      </x:c>
      <x:c r="H18" s="17" t="n">
        <x:f>G18*F18</x:f>
        <x:v>612.9767999999999</x:v>
      </x:c>
      <x:c r="I18" s="22" t="str">
        <x:f>HYPERLINK("https://etp-aktiv.ru/catalog/materialy/ehlektrotekhnicheskie-materialy/2000141262-Y115/","Открыть позицию")</x:f>
        <x:v>Открыть позицию</x:v>
      </x:c>
    </x:row>
    <x:row r="19" ht="28" customHeight="1">
      <x:c r="A19" s="16" t="str">
        <x:v>Барабинская ТЭЦ</x:v>
      </x:c>
      <x:c r="B19" s="16" t="str">
        <x:v>2000157902-Y115</x:v>
      </x:c>
      <x:c r="C19" s="16" t="str">
        <x:v>НАКОНЕЧНИК ТМЛ 6-5-4</x:v>
      </x:c>
      <x:c r="D19" s="16" t="str">
        <x:v>Монтажные изделия для кабельной продукции</x:v>
      </x:c>
      <x:c r="E19" s="16" t="str">
        <x:v>ШТ</x:v>
      </x:c>
      <x:c r="F19" s="21" t="n">
        <x:v>2</x:v>
      </x:c>
      <x:c r="G19" s="17" t="n">
        <x:v>9.882</x:v>
      </x:c>
      <x:c r="H19" s="17" t="n">
        <x:f>G19*F19</x:f>
        <x:v>19.764</x:v>
      </x:c>
      <x:c r="I19" s="22" t="str">
        <x:f>HYPERLINK("https://etp-aktiv.ru/catalog/materialy/ehlektrotekhnicheskie-materialy/2000157902-Y115/","Открыть позицию")</x:f>
        <x:v>Открыть позицию</x:v>
      </x:c>
    </x:row>
    <x:row r="20" ht="28" customHeight="1">
      <x:c r="A20" s="16" t="str">
        <x:v>Барабинская ТЭЦ</x:v>
      </x:c>
      <x:c r="B20" s="16" t="str">
        <x:v>2000033928-Y115</x:v>
      </x:c>
      <x:c r="C20" s="16" t="str">
        <x:v>ПЛЕНКОЭЛЕКТРОКАРТОН ПЭК 0,32ММ</x:v>
      </x:c>
      <x:c r="D20" s="16" t="str">
        <x:v>Электроизоляционные материалы</x:v>
      </x:c>
      <x:c r="E20" s="16" t="str">
        <x:v>КГ</x:v>
      </x:c>
      <x:c r="F20" s="30" t="n">
        <x:v>5.5</x:v>
      </x:c>
      <x:c r="G20" s="17" t="n">
        <x:v>43.4686</x:v>
      </x:c>
      <x:c r="H20" s="17" t="n">
        <x:f>G20*F20</x:f>
        <x:v>239.0773</x:v>
      </x:c>
      <x:c r="I20" s="22" t="str">
        <x:f>HYPERLINK("https://etp-aktiv.ru/catalog/materialy/ehlektroizolyacionnye-materialy/2000033928-Y115/","Открыть позицию")</x:f>
        <x:v>Открыть позицию</x:v>
      </x:c>
    </x:row>
    <x:row r="21" ht="28" customHeight="1">
      <x:c r="A21" s="16" t="str">
        <x:v>Барабинская ТЭЦ</x:v>
      </x:c>
      <x:c r="B21" s="16" t="str">
        <x:v>2000570587-Y115</x:v>
      </x:c>
      <x:c r="C21" s="16" t="str">
        <x:v>ПЛЕНКОЭЛЕКТРОКАРТОН СИНТОФЛЕКС-41 0,45ММ</x:v>
      </x:c>
      <x:c r="D21" s="16" t="str">
        <x:v>Электроизоляционные материалы</x:v>
      </x:c>
      <x:c r="E21" s="16" t="str">
        <x:v>КГ</x:v>
      </x:c>
      <x:c r="F21" s="21" t="n">
        <x:v>4</x:v>
      </x:c>
      <x:c r="G21" s="17" t="n">
        <x:v>43.4686</x:v>
      </x:c>
      <x:c r="H21" s="17" t="n">
        <x:f>G21*F21</x:f>
        <x:v>173.8744</x:v>
      </x:c>
      <x:c r="I21" s="22" t="str">
        <x:f>HYPERLINK("https://etp-aktiv.ru/catalog/materialy/ehlektroizolyacionnye-materialy/2000570587-Y115/","Открыть позицию")</x:f>
        <x:v>Открыть позицию</x:v>
      </x:c>
    </x:row>
    <x:row r="22" ht="28" customHeight="1">
      <x:c r="A22" s="16" t="str">
        <x:v>Барабинская ТЭЦ</x:v>
      </x:c>
      <x:c r="B22" s="16" t="str">
        <x:v>2000015355-Y115</x:v>
      </x:c>
      <x:c r="C22" s="16" t="str">
        <x:v>ПРОВОД БПВЛ 4</x:v>
      </x:c>
      <x:c r="D22" s="16" t="str">
        <x:v>Кабель общепромышленный и провод</x:v>
      </x:c>
      <x:c r="E22" s="16" t="str">
        <x:v>КМ</x:v>
      </x:c>
      <x:c r="F22" s="29" t="n">
        <x:v>0.02</x:v>
      </x:c>
      <x:c r="G22" s="17" t="n">
        <x:v>33550</x:v>
      </x:c>
      <x:c r="H22" s="17" t="n">
        <x:f>G22*F22</x:f>
        <x:v>671</x:v>
      </x:c>
      <x:c r="I22" s="22" t="str">
        <x:f>HYPERLINK("https://etp-aktiv.ru/catalog/materialy/kabelno-provodnikovaya-produkciya/2000015355-Y115/","Открыть позицию")</x:f>
        <x:v>Открыть позицию</x:v>
      </x:c>
    </x:row>
    <x:row r="23" ht="28" customHeight="1">
      <x:c r="A23" s="16" t="str">
        <x:v>Барабинская ТЭЦ</x:v>
      </x:c>
      <x:c r="B23" s="16" t="str">
        <x:v>2000016009-Y115</x:v>
      </x:c>
      <x:c r="C23" s="16" t="str">
        <x:v>ПРОВОД БПВЛ 6</x:v>
      </x:c>
      <x:c r="D23" s="16" t="str">
        <x:v>Кабель общепромышленный и провод</x:v>
      </x:c>
      <x:c r="E23" s="16" t="str">
        <x:v>КМ</x:v>
      </x:c>
      <x:c r="F23" s="29" t="n">
        <x:v>0.02</x:v>
      </x:c>
      <x:c r="G23" s="17" t="n">
        <x:v>48983</x:v>
      </x:c>
      <x:c r="H23" s="17" t="n">
        <x:f>G23*F23</x:f>
        <x:v>979.66</x:v>
      </x:c>
      <x:c r="I23" s="22" t="str">
        <x:f>HYPERLINK("https://etp-aktiv.ru/catalog/materialy/kabelno-provodnikovaya-produkciya/2000016009-Y115/","Открыть позицию")</x:f>
        <x:v>Открыть позицию</x:v>
      </x:c>
    </x:row>
    <x:row r="24" ht="28" customHeight="1">
      <x:c r="A24" s="16" t="str">
        <x:v>Барабинская ТЭЦ</x:v>
      </x:c>
      <x:c r="B24" s="16" t="str">
        <x:v>2000006783-Y115</x:v>
      </x:c>
      <x:c r="C24" s="16" t="str">
        <x:v>ПРОВОД ПЭТВ-2 0,85</x:v>
      </x:c>
      <x:c r="D24" s="16" t="str">
        <x:v>Кабель общепромышленный и провод</x:v>
      </x:c>
      <x:c r="E24" s="16" t="str">
        <x:v>КГ</x:v>
      </x:c>
      <x:c r="F24" s="21" t="n">
        <x:v>6</x:v>
      </x:c>
      <x:c r="G24" s="17" t="n">
        <x:v>1198.9672</x:v>
      </x:c>
      <x:c r="H24" s="17" t="n">
        <x:f>G24*F24</x:f>
        <x:v>7193.8032</x:v>
      </x:c>
      <x:c r="I24" s="22" t="str">
        <x:f>HYPERLINK("https://etp-aktiv.ru/catalog/materialy/kabelno-provodnikovaya-produkciya/2000006783-Y115/","Открыть позицию")</x:f>
        <x:v>Открыть позицию</x:v>
      </x:c>
    </x:row>
    <x:row r="25" ht="28" customHeight="1">
      <x:c r="A25" s="16" t="str">
        <x:v>Барабинская ТЭЦ</x:v>
      </x:c>
      <x:c r="B25" s="16" t="str">
        <x:v>2000006758-Y115</x:v>
      </x:c>
      <x:c r="C25" s="16" t="str">
        <x:v>ПРОВОД ПЭТВ-2 0,95</x:v>
      </x:c>
      <x:c r="D25" s="16" t="str">
        <x:v>Кабель общепромышленный и провод</x:v>
      </x:c>
      <x:c r="E25" s="16" t="str">
        <x:v>КГ</x:v>
      </x:c>
      <x:c r="F25" s="21" t="n">
        <x:v>6</x:v>
      </x:c>
      <x:c r="G25" s="17" t="n">
        <x:v>1359.995</x:v>
      </x:c>
      <x:c r="H25" s="17" t="n">
        <x:f>G25*F25</x:f>
        <x:v>8159.969999999999</x:v>
      </x:c>
      <x:c r="I25" s="22" t="str">
        <x:f>HYPERLINK("https://etp-aktiv.ru/catalog/materialy/kabelno-provodnikovaya-produkciya/2000006758-Y115/","Открыть позицию")</x:f>
        <x:v>Открыть позицию</x:v>
      </x:c>
    </x:row>
    <x:row r="26" ht="28" customHeight="1">
      <x:c r="A26" s="16" t="str">
        <x:v>Барабинская ТЭЦ</x:v>
      </x:c>
      <x:c r="B26" s="16" t="str">
        <x:v>2000006430-Y115</x:v>
      </x:c>
      <x:c r="C26" s="16" t="str">
        <x:v>ПРОВОД ПЭТВ-2 1</x:v>
      </x:c>
      <x:c r="D26" s="16" t="str">
        <x:v>Кабель общепромышленный и провод</x:v>
      </x:c>
      <x:c r="E26" s="16" t="str">
        <x:v>КГ</x:v>
      </x:c>
      <x:c r="F26" s="21" t="n">
        <x:v>6</x:v>
      </x:c>
      <x:c r="G26" s="17" t="n">
        <x:v>1100.4156</x:v>
      </x:c>
      <x:c r="H26" s="17" t="n">
        <x:f>G26*F26</x:f>
        <x:v>6602.4936</x:v>
      </x:c>
      <x:c r="I26" s="22" t="str">
        <x:f>HYPERLINK("https://etp-aktiv.ru/catalog/materialy/kabelno-provodnikovaya-produkciya/2000006430-Y115/","Открыть позицию")</x:f>
        <x:v>Открыть позицию</x:v>
      </x:c>
    </x:row>
    <x:row r="27" ht="28" customHeight="1">
      <x:c r="A27" s="16" t="str">
        <x:v>Барабинская ТЭЦ</x:v>
      </x:c>
      <x:c r="B27" s="16" t="str">
        <x:v>2000006773-Y115</x:v>
      </x:c>
      <x:c r="C27" s="16" t="str">
        <x:v>ПРОВОД ПЭТВ-2 1,06</x:v>
      </x:c>
      <x:c r="D27" s="16" t="str">
        <x:v>Кабель общепромышленный и провод</x:v>
      </x:c>
      <x:c r="E27" s="16" t="str">
        <x:v>КГ</x:v>
      </x:c>
      <x:c r="F27" s="30" t="n">
        <x:v>10.98</x:v>
      </x:c>
      <x:c r="G27" s="17" t="n">
        <x:v>1359.995</x:v>
      </x:c>
      <x:c r="H27" s="17" t="n">
        <x:f>G27*F27</x:f>
        <x:v>14932.7451</x:v>
      </x:c>
      <x:c r="I27" s="22" t="str">
        <x:f>HYPERLINK("https://etp-aktiv.ru/catalog/materialy/kabelno-provodnikovaya-produkciya/2000006773-Y115/","Открыть позицию")</x:f>
        <x:v>Открыть позицию</x:v>
      </x:c>
    </x:row>
    <x:row r="28" ht="28" customHeight="1">
      <x:c r="A28" s="16" t="str">
        <x:v>Барабинская ТЭЦ</x:v>
      </x:c>
      <x:c r="B28" s="16" t="str">
        <x:v>2000006428-Y115</x:v>
      </x:c>
      <x:c r="C28" s="16" t="str">
        <x:v>ПРОВОД ПЭТВ-2 1,08</x:v>
      </x:c>
      <x:c r="D28" s="16" t="str">
        <x:v>Кабель общепромышленный и провод</x:v>
      </x:c>
      <x:c r="E28" s="16" t="str">
        <x:v>КГ</x:v>
      </x:c>
      <x:c r="F28" s="21" t="n">
        <x:v>6</x:v>
      </x:c>
      <x:c r="G28" s="17" t="n">
        <x:v>1070.55</x:v>
      </x:c>
      <x:c r="H28" s="17" t="n">
        <x:f>G28*F28</x:f>
        <x:v>6423.299999999999</x:v>
      </x:c>
      <x:c r="I28" s="22" t="str">
        <x:f>HYPERLINK("https://etp-aktiv.ru/catalog/materialy/kabelno-provodnikovaya-produkciya/2000006428-Y115/","Открыть позицию")</x:f>
        <x:v>Открыть позицию</x:v>
      </x:c>
    </x:row>
    <x:row r="29" ht="28" customHeight="1">
      <x:c r="A29" s="16" t="str">
        <x:v>Барабинская ТЭЦ</x:v>
      </x:c>
      <x:c r="B29" s="16" t="str">
        <x:v>2000006429-Y115</x:v>
      </x:c>
      <x:c r="C29" s="16" t="str">
        <x:v>ПРОВОД ПЭТВ-2 1,12</x:v>
      </x:c>
      <x:c r="D29" s="16" t="str">
        <x:v>Кабель общепромышленный и провод</x:v>
      </x:c>
      <x:c r="E29" s="16" t="str">
        <x:v>КГ</x:v>
      </x:c>
      <x:c r="F29" s="21" t="n">
        <x:v>6</x:v>
      </x:c>
      <x:c r="G29" s="17" t="n">
        <x:v>1359.995</x:v>
      </x:c>
      <x:c r="H29" s="17" t="n">
        <x:f>G29*F29</x:f>
        <x:v>8159.969999999999</x:v>
      </x:c>
      <x:c r="I29" s="22" t="str">
        <x:f>HYPERLINK("https://etp-aktiv.ru/catalog/materialy/kabelno-provodnikovaya-produkciya/2000006429-Y115/","Открыть позицию")</x:f>
        <x:v>Открыть позицию</x:v>
      </x:c>
    </x:row>
    <x:row r="30" ht="28" customHeight="1">
      <x:c r="A30" s="16" t="str">
        <x:v>Барабинская ТЭЦ</x:v>
      </x:c>
      <x:c r="B30" s="16" t="str">
        <x:v>2000006767-Y115</x:v>
      </x:c>
      <x:c r="C30" s="16" t="str">
        <x:v>ПРОВОД ПЭТВ-2 1,18</x:v>
      </x:c>
      <x:c r="D30" s="16" t="str">
        <x:v>Кабель общепромышленный и провод</x:v>
      </x:c>
      <x:c r="E30" s="16" t="str">
        <x:v>КГ</x:v>
      </x:c>
      <x:c r="F30" s="30" t="n">
        <x:v>9.8</x:v>
      </x:c>
      <x:c r="G30" s="17" t="n">
        <x:v>1359.995</x:v>
      </x:c>
      <x:c r="H30" s="17" t="n">
        <x:f>G30*F30</x:f>
        <x:v>13327.951</x:v>
      </x:c>
      <x:c r="I30" s="22" t="str">
        <x:f>HYPERLINK("https://etp-aktiv.ru/catalog/materialy/kabelno-provodnikovaya-produkciya/2000006767-Y115/","Открыть позицию")</x:f>
        <x:v>Открыть позицию</x:v>
      </x:c>
    </x:row>
    <x:row r="31" ht="28" customHeight="1">
      <x:c r="A31" s="16" t="str">
        <x:v>Барабинская ТЭЦ</x:v>
      </x:c>
      <x:c r="B31" s="16" t="str">
        <x:v>2000138884-Y115</x:v>
      </x:c>
      <x:c r="C31" s="16" t="str">
        <x:v>ПРОВОД ПЭТВ-2 1,2</x:v>
      </x:c>
      <x:c r="D31" s="16" t="str">
        <x:v>Кабель общепромышленный и провод</x:v>
      </x:c>
      <x:c r="E31" s="16" t="str">
        <x:v>КГ</x:v>
      </x:c>
      <x:c r="F31" s="30" t="n">
        <x:v>20.45</x:v>
      </x:c>
      <x:c r="G31" s="17" t="n">
        <x:v>1158.6706</x:v>
      </x:c>
      <x:c r="H31" s="17" t="n">
        <x:f>G31*F31</x:f>
        <x:v>23694.813769999997</x:v>
      </x:c>
      <x:c r="I31" s="22" t="str">
        <x:f>HYPERLINK("https://etp-aktiv.ru/catalog/materialy/kabelno-provodnikovaya-produkciya/2000138884-Y115/","Открыть позицию")</x:f>
        <x:v>Открыть позицию</x:v>
      </x:c>
    </x:row>
    <x:row r="32" ht="28" customHeight="1">
      <x:c r="A32" s="16" t="str">
        <x:v>Барабинская ТЭЦ</x:v>
      </x:c>
      <x:c r="B32" s="16" t="str">
        <x:v>2000006759-Y115</x:v>
      </x:c>
      <x:c r="C32" s="16" t="str">
        <x:v>ПРОВОД ПЭТВ-2 1,25</x:v>
      </x:c>
      <x:c r="D32" s="16" t="str">
        <x:v>Кабель общепромышленный и провод</x:v>
      </x:c>
      <x:c r="E32" s="16" t="str">
        <x:v>КГ</x:v>
      </x:c>
      <x:c r="F32" s="21" t="n">
        <x:v>0</x:v>
      </x:c>
      <x:c r="G32" s="17" t="n">
        <x:v>1109.9071999999999</x:v>
      </x:c>
      <x:c r="H32" s="17" t="n">
        <x:f>G32*F32</x:f>
        <x:v>0</x:v>
      </x:c>
      <x:c r="I32" s="22" t="str">
        <x:f>HYPERLINK("https://etp-aktiv.ru/catalog/materialy/kabelno-provodnikovaya-produkciya/2000006759-Y115/","Открыть позицию")</x:f>
        <x:v>Открыть позицию</x:v>
      </x:c>
    </x:row>
    <x:row r="33" ht="28" customHeight="1">
      <x:c r="A33" s="16" t="str">
        <x:v>Барабинская ТЭЦ</x:v>
      </x:c>
      <x:c r="B33" s="16" t="str">
        <x:v>2000006425-Y115</x:v>
      </x:c>
      <x:c r="C33" s="16" t="str">
        <x:v>ПРОВОД ПЭТВ-2 1,32</x:v>
      </x:c>
      <x:c r="D33" s="16" t="str">
        <x:v>Кабель общепромышленный и провод</x:v>
      </x:c>
      <x:c r="E33" s="16" t="str">
        <x:v>КГ</x:v>
      </x:c>
      <x:c r="F33" s="30" t="n">
        <x:v>17.75</x:v>
      </x:c>
      <x:c r="G33" s="17" t="n">
        <x:v>1090.3994</x:v>
      </x:c>
      <x:c r="H33" s="17" t="n">
        <x:f>G33*F33</x:f>
        <x:v>19354.589350000002</x:v>
      </x:c>
      <x:c r="I33" s="22" t="str">
        <x:f>HYPERLINK("https://etp-aktiv.ru/catalog/materialy/kabelno-provodnikovaya-produkciya/2000006425-Y115/","Открыть позицию")</x:f>
        <x:v>Открыть позицию</x:v>
      </x:c>
    </x:row>
    <x:row r="34" ht="28" customHeight="1">
      <x:c r="A34" s="16" t="str">
        <x:v>Барабинская ТЭЦ</x:v>
      </x:c>
      <x:c r="B34" s="16" t="str">
        <x:v>2000006744-Y115</x:v>
      </x:c>
      <x:c r="C34" s="16" t="str">
        <x:v>ПРОВОД ПЭТВ-2 1,4</x:v>
      </x:c>
      <x:c r="D34" s="16" t="str">
        <x:v>Кабель общепромышленный и провод</x:v>
      </x:c>
      <x:c r="E34" s="16" t="str">
        <x:v>КГ</x:v>
      </x:c>
      <x:c r="F34" s="21" t="n">
        <x:v>44</x:v>
      </x:c>
      <x:c r="G34" s="17" t="n">
        <x:v>1112.7132</x:v>
      </x:c>
      <x:c r="H34" s="17" t="n">
        <x:f>G34*F34</x:f>
        <x:v>48959.3808</x:v>
      </x:c>
      <x:c r="I34" s="22" t="str">
        <x:f>HYPERLINK("https://etp-aktiv.ru/catalog/materialy/kabelno-provodnikovaya-produkciya/2000006744-Y115/","Открыть позицию")</x:f>
        <x:v>Открыть позицию</x:v>
      </x:c>
    </x:row>
    <x:row r="35" ht="28" customHeight="1">
      <x:c r="A35" s="16" t="str">
        <x:v>Барабинская ТЭЦ</x:v>
      </x:c>
      <x:c r="B35" s="16" t="str">
        <x:v>2000006423-Y115</x:v>
      </x:c>
      <x:c r="C35" s="16" t="str">
        <x:v>ПРОВОД ПЭТВ-2 1,45</x:v>
      </x:c>
      <x:c r="D35" s="16" t="str">
        <x:v>Кабель общепромышленный и провод</x:v>
      </x:c>
      <x:c r="E35" s="16" t="str">
        <x:v>КГ</x:v>
      </x:c>
      <x:c r="F35" s="30" t="n">
        <x:v>33.75</x:v>
      </x:c>
      <x:c r="G35" s="17" t="n">
        <x:v>1112.8229999999999</x:v>
      </x:c>
      <x:c r="H35" s="17" t="n">
        <x:f>G35*F35</x:f>
        <x:v>37557.776249999995</x:v>
      </x:c>
      <x:c r="I35" s="22" t="str">
        <x:f>HYPERLINK("https://etp-aktiv.ru/catalog/materialy/kabelno-provodnikovaya-produkciya/2000006423-Y115/","Открыть позицию")</x:f>
        <x:v>Открыть позицию</x:v>
      </x:c>
    </x:row>
    <x:row r="36" ht="28" customHeight="1">
      <x:c r="A36" s="16" t="str">
        <x:v>Барабинская ТЭЦ</x:v>
      </x:c>
      <x:c r="B36" s="16" t="str">
        <x:v>2000006424-Y115</x:v>
      </x:c>
      <x:c r="C36" s="16" t="str">
        <x:v>ПРОВОД ПЭТВ-2 1,5</x:v>
      </x:c>
      <x:c r="D36" s="16" t="str">
        <x:v>Кабель общепромышленный и провод</x:v>
      </x:c>
      <x:c r="E36" s="16" t="str">
        <x:v>КГ</x:v>
      </x:c>
      <x:c r="F36" s="21" t="n">
        <x:v>0</x:v>
      </x:c>
      <x:c r="G36" s="17" t="n">
        <x:v>1082.7256</x:v>
      </x:c>
      <x:c r="H36" s="17" t="n">
        <x:f>G36*F36</x:f>
        <x:v>0</x:v>
      </x:c>
      <x:c r="I36" s="22" t="str">
        <x:f>HYPERLINK("https://etp-aktiv.ru/catalog/materialy/kabelno-provodnikovaya-produkciya/2000006424-Y115/","Открыть позицию")</x:f>
        <x:v>Открыть позицию</x:v>
      </x:c>
    </x:row>
    <x:row r="37" ht="28" customHeight="1">
      <x:c r="A37" s="16" t="str">
        <x:v>Барабинская ТЭЦ</x:v>
      </x:c>
      <x:c r="B37" s="16" t="str">
        <x:v>2000006422-Y115</x:v>
      </x:c>
      <x:c r="C37" s="16" t="str">
        <x:v>ПРОВОД ПЭТВ-2 1,56</x:v>
      </x:c>
      <x:c r="D37" s="16" t="str">
        <x:v>Кабель общепромышленный и провод</x:v>
      </x:c>
      <x:c r="E37" s="16" t="str">
        <x:v>КГ</x:v>
      </x:c>
      <x:c r="F37" s="21" t="n">
        <x:v>28</x:v>
      </x:c>
      <x:c r="G37" s="17" t="n">
        <x:v>1359.995</x:v>
      </x:c>
      <x:c r="H37" s="17" t="n">
        <x:f>G37*F37</x:f>
        <x:v>38079.86</x:v>
      </x:c>
      <x:c r="I37" s="22" t="str">
        <x:f>HYPERLINK("https://etp-aktiv.ru/catalog/materialy/kabelno-provodnikovaya-produkciya/2000006422-Y115/","Открыть позицию")</x:f>
        <x:v>Открыть позицию</x:v>
      </x:c>
    </x:row>
    <x:row r="38" ht="28" customHeight="1">
      <x:c r="A38" s="16" t="str">
        <x:v>Барабинская ТЭЦ</x:v>
      </x:c>
      <x:c r="B38" s="16" t="str">
        <x:v>2000546355-Y115</x:v>
      </x:c>
      <x:c r="C38" s="16" t="str">
        <x:v>ПРОВОЛОКА СВ06Х19Н9Т D2ММ ГОСТ2246-70</x:v>
      </x:c>
      <x:c r="D38" s="16" t="str">
        <x:v>Сварочные электроды</x:v>
      </x:c>
      <x:c r="E38" s="16" t="str">
        <x:v>КГ</x:v>
      </x:c>
      <x:c r="F38" s="30" t="n">
        <x:v>11.2</x:v>
      </x:c>
      <x:c r="G38" s="17" t="n">
        <x:v>332.99899999999997</x:v>
      </x:c>
      <x:c r="H38" s="17" t="n">
        <x:f>G38*F38</x:f>
        <x:v>3729.5887999999995</x:v>
      </x:c>
      <x:c r="I38" s="22" t="str">
        <x:f>HYPERLINK("https://etp-aktiv.ru/catalog/materialy/svarochnye-ehlektrody/2000546355-Y115/","Открыть позицию")</x:f>
        <x:v>Открыть позицию</x:v>
      </x:c>
    </x:row>
    <x:row r="39" ht="28" customHeight="1">
      <x:c r="A39" s="16" t="str">
        <x:v>Барабинская ТЭЦ</x:v>
      </x:c>
      <x:c r="B39" s="16" t="str">
        <x:v>2000238416-Y115</x:v>
      </x:c>
      <x:c r="C39" s="16" t="str">
        <x:v>РАМКА LEGRAND VALENA 774451</x:v>
      </x:c>
      <x:c r="D39" s="16" t="str">
        <x:v>Низковольтная аппаратура и запасные части</x:v>
      </x:c>
      <x:c r="E39" s="16" t="str">
        <x:v>ШТ</x:v>
      </x:c>
      <x:c r="F39" s="21" t="n">
        <x:v>5</x:v>
      </x:c>
      <x:c r="G39" s="17" t="n">
        <x:v>87.9986</x:v>
      </x:c>
      <x:c r="H39" s="17" t="n">
        <x:f>G39*F39</x:f>
        <x:v>439.993</x:v>
      </x:c>
      <x:c r="I39" s="22" t="str">
        <x:f>HYPERLINK("https://etp-aktiv.ru/catalog/materialy/nizkovoltnaya-apparatura-i-zapasnye-chasti/2000238416-Y115/","Открыть позицию")</x:f>
        <x:v>Открыть позицию</x:v>
      </x:c>
    </x:row>
    <x:row r="40" ht="28" customHeight="1">
      <x:c r="A40" s="16" t="str">
        <x:v>Барабинская ТЭЦ</x:v>
      </x:c>
      <x:c r="B40" s="16" t="str">
        <x:v>2000130847-Y115</x:v>
      </x:c>
      <x:c r="C40" s="16" t="str">
        <x:v>СТАРТЕР PHILIPS S10 4-65ВТ 220-240</x:v>
      </x:c>
      <x:c r="D40" s="16" t="str">
        <x:v>Осветительная продукция и изделия электроустановочные</x:v>
      </x:c>
      <x:c r="E40" s="16" t="str">
        <x:v>ШТ</x:v>
      </x:c>
      <x:c r="F40" s="21" t="n">
        <x:v>5</x:v>
      </x:c>
      <x:c r="G40" s="17" t="n">
        <x:v>4.3187999999999995</x:v>
      </x:c>
      <x:c r="H40" s="17" t="n">
        <x:f>G40*F40</x:f>
        <x:v>21.593999999999998</x:v>
      </x:c>
      <x:c r="I40" s="22" t="str">
        <x:f>HYPERLINK("https://etp-aktiv.ru/catalog/materialy/ehlektrotekhnicheskie-materialy/2000130847-Y115/","Открыть позицию")</x:f>
        <x:v>Открыть позицию</x:v>
      </x:c>
    </x:row>
    <x:row r="41" ht="28" customHeight="1">
      <x:c r="A41" s="16" t="str">
        <x:v>Барабинская ТЭЦ</x:v>
      </x:c>
      <x:c r="B41" s="16" t="str">
        <x:v>2000624277-Y115</x:v>
      </x:c>
      <x:c r="C41" s="16" t="str">
        <x:v>ТЕКСТОЛИТ Б 4ММ</x:v>
      </x:c>
      <x:c r="D41" s="16" t="str">
        <x:v>Электроизоляционные материалы</x:v>
      </x:c>
      <x:c r="E41" s="16" t="str">
        <x:v>КГ</x:v>
      </x:c>
      <x:c r="F41" s="30" t="n">
        <x:v>8.02</x:v>
      </x:c>
      <x:c r="G41" s="17" t="n">
        <x:v>58.6698</x:v>
      </x:c>
      <x:c r="H41" s="17" t="n">
        <x:f>G41*F41</x:f>
        <x:v>470.531796</x:v>
      </x:c>
      <x:c r="I41" s="22" t="str">
        <x:f>HYPERLINK("https://etp-aktiv.ru/catalog/materialy/ehlektroizolyacionnye-materialy/2000624277-Y115/","Открыть позицию")</x:f>
        <x:v>Открыть позицию</x:v>
      </x:c>
    </x:row>
    <x:row r="42" ht="28" customHeight="1">
      <x:c r="A42" s="16" t="str">
        <x:v>Барабинская ТЭЦ</x:v>
      </x:c>
      <x:c r="B42" s="16" t="str">
        <x:v>2000533200-Y115</x:v>
      </x:c>
      <x:c r="C42" s="16" t="str">
        <x:v>ТРУБА ГОФР ПВХ ГИБКАЯ 50ММ СЕРАЯ 90950</x:v>
      </x:c>
      <x:c r="D42" s="16" t="str">
        <x:v>Монтажные изделия для кабельной продукции</x:v>
      </x:c>
      <x:c r="E42" s="16" t="str">
        <x:v>М</x:v>
      </x:c>
      <x:c r="F42" s="21" t="n">
        <x:v>39</x:v>
      </x:c>
      <x:c r="G42" s="17" t="n">
        <x:v>2.6961999999999997</x:v>
      </x:c>
      <x:c r="H42" s="17" t="n">
        <x:f>G42*F42</x:f>
        <x:v>105.1518</x:v>
      </x:c>
      <x:c r="I42" s="22" t="str">
        <x:f>HYPERLINK("https://etp-aktiv.ru/catalog/materialy/ehlektrotekhnicheskie-materialy/2000533200-Y115/","Открыть позицию")</x:f>
        <x:v>Открыть позицию</x:v>
      </x:c>
    </x:row>
    <x:row r="43" ht="28" customHeight="1">
      <x:c r="A43" s="16" t="str">
        <x:v>Барабинская ТЭЦ</x:v>
      </x:c>
      <x:c r="B43" s="16" t="str">
        <x:v>2000533186-Y115</x:v>
      </x:c>
      <x:c r="C43" s="16" t="str">
        <x:v>ТРУБА ГОФРИРОВАН ПВХ 25ММ CTG20-25-K41</x:v>
      </x:c>
      <x:c r="D43" s="16" t="str">
        <x:v>Монтажные изделия для кабельной продукции</x:v>
      </x:c>
      <x:c r="E43" s="16" t="str">
        <x:v>М</x:v>
      </x:c>
      <x:c r="F43" s="21" t="n">
        <x:v>40</x:v>
      </x:c>
      <x:c r="G43" s="17" t="n">
        <x:v>48.9952</x:v>
      </x:c>
      <x:c r="H43" s="17" t="n">
        <x:f>G43*F43</x:f>
        <x:v>1959.808</x:v>
      </x:c>
      <x:c r="I43" s="22" t="str">
        <x:f>HYPERLINK("https://etp-aktiv.ru/catalog/materialy/ehlektrotekhnicheskie-materialy/2000533186-Y115/","Открыть позицию")</x:f>
        <x:v>Открыть позицию</x:v>
      </x:c>
    </x:row>
    <x:row r="44" ht="28" customHeight="1">
      <x:c r="A44" s="16" t="str">
        <x:v>Барабинская ТЭЦ</x:v>
      </x:c>
      <x:c r="B44" s="16" t="str">
        <x:v>2000533187-Y115</x:v>
      </x:c>
      <x:c r="C44" s="16" t="str">
        <x:v>ТРУБА ГОФРИРОВАН ПВХ 32ММ SQ0401-0304</x:v>
      </x:c>
      <x:c r="D44" s="16" t="str">
        <x:v>Монтажные изделия для кабельной продукции</x:v>
      </x:c>
      <x:c r="E44" s="16" t="str">
        <x:v>М</x:v>
      </x:c>
      <x:c r="F44" s="21" t="n">
        <x:v>5</x:v>
      </x:c>
      <x:c r="G44" s="17" t="n">
        <x:v>3.5258000000000003</x:v>
      </x:c>
      <x:c r="H44" s="17" t="n">
        <x:f>G44*F44</x:f>
        <x:v>17.629</x:v>
      </x:c>
      <x:c r="I44" s="22" t="str">
        <x:f>HYPERLINK("https://etp-aktiv.ru/catalog/materialy/ehlektrotekhnicheskie-materialy/2000533187-Y115/","Открыть позицию")</x:f>
        <x:v>Открыть позицию</x:v>
      </x:c>
    </x:row>
    <x:row r="45" ht="28" customHeight="1">
      <x:c r="A45" s="16" t="str">
        <x:v>Барабинская ТЭЦ</x:v>
      </x:c>
      <x:c r="B45" s="16" t="str">
        <x:v>2000533179-Y115</x:v>
      </x:c>
      <x:c r="C45" s="16" t="str">
        <x:v>ТРУБА ГОФРИРОВАННАЯ 50ММ 91950</x:v>
      </x:c>
      <x:c r="D45" s="16" t="str">
        <x:v>Монтажные изделия для кабельной продукции</x:v>
      </x:c>
      <x:c r="E45" s="16" t="str">
        <x:v>М</x:v>
      </x:c>
      <x:c r="F45" s="21" t="n">
        <x:v>5</x:v>
      </x:c>
      <x:c r="G45" s="17" t="n">
        <x:v>4.904399999999999</x:v>
      </x:c>
      <x:c r="H45" s="17" t="n">
        <x:f>G45*F45</x:f>
        <x:v>24.521999999999995</x:v>
      </x:c>
      <x:c r="I45" s="22" t="str">
        <x:f>HYPERLINK("https://etp-aktiv.ru/catalog/materialy/ehlektrotekhnicheskie-materialy/2000533179-Y115/","Открыть позицию")</x:f>
        <x:v>Открыть позицию</x:v>
      </x:c>
    </x:row>
    <x:row r="46" ht="28" customHeight="1">
      <x:c r="A46" s="16" t="str">
        <x:v>Барабинская ТЭЦ</x:v>
      </x:c>
      <x:c r="B46" s="16" t="str">
        <x:v>2000568506-Y115</x:v>
      </x:c>
      <x:c r="C46" s="16" t="str">
        <x:v>ТРУБА СТ20 38*3(8731)-1-ППУ-ПЭ/125 30732</x:v>
      </x:c>
      <x:c r="D46" s="16" t="str">
        <x:v>Трубы и элементы трубопроводов теплоизолиров и футерованных</x:v>
      </x:c>
      <x:c r="E46" s="16" t="str">
        <x:v>М</x:v>
      </x:c>
      <x:c r="F46" s="21" t="n">
        <x:v>90</x:v>
      </x:c>
      <x:c r="G46" s="17" t="n">
        <x:v>36.6</x:v>
      </x:c>
      <x:c r="H46" s="17" t="n">
        <x:f>G46*F46</x:f>
        <x:v>3294</x:v>
      </x:c>
      <x:c r="I46" s="22" t="str">
        <x:f>HYPERLINK("https://etp-aktiv.ru/catalog/materialy/truboprovody/2000568506-Y115/","Открыть позицию")</x:f>
        <x:v>Открыть позицию</x:v>
      </x:c>
    </x:row>
    <x:row r="47" ht="28" customHeight="1">
      <x:c r="A47" s="16" t="str">
        <x:v>Барабинская ТЭЦ</x:v>
      </x:c>
      <x:c r="B47" s="16" t="str">
        <x:v>2000647842-Y115</x:v>
      </x:c>
      <x:c r="C47" s="16" t="str">
        <x:v>ТРУБКА 110 ТЛВ 4 ГОСТ17675-87</x:v>
      </x:c>
      <x:c r="D47" s="16" t="str">
        <x:v>Электроизоляционные материалы</x:v>
      </x:c>
      <x:c r="E47" s="16" t="str">
        <x:v>М</x:v>
      </x:c>
      <x:c r="F47" s="21" t="n">
        <x:v>20</x:v>
      </x:c>
      <x:c r="G47" s="17" t="n">
        <x:v>3.8064</x:v>
      </x:c>
      <x:c r="H47" s="17" t="n">
        <x:f>G47*F47</x:f>
        <x:v>76.128</x:v>
      </x:c>
      <x:c r="I47" s="22" t="str">
        <x:f>HYPERLINK("https://etp-aktiv.ru/catalog/materialy/ehlektroizolyacionnye-materialy/2000647842-Y115/","Открыть позицию")</x:f>
        <x:v>Открыть позицию</x:v>
      </x:c>
    </x:row>
    <x:row r="48" ht="28" customHeight="1">
      <x:c r="A48" s="16" t="str">
        <x:v>Барабинская ТЭЦ</x:v>
      </x:c>
      <x:c r="B48" s="16" t="str">
        <x:v>2000548667-Y115</x:v>
      </x:c>
      <x:c r="C48" s="16" t="str">
        <x:v>ТРУБКА ЛИНОКСИНОВАЯ ТЛВ 10ММ</x:v>
      </x:c>
      <x:c r="D48" s="16" t="str">
        <x:v>Электроизоляционные материалы</x:v>
      </x:c>
      <x:c r="E48" s="16" t="str">
        <x:v>М</x:v>
      </x:c>
      <x:c r="F48" s="21" t="n">
        <x:v>30</x:v>
      </x:c>
      <x:c r="G48" s="17" t="n">
        <x:v>5.0874</x:v>
      </x:c>
      <x:c r="H48" s="17" t="n">
        <x:f>G48*F48</x:f>
        <x:v>152.62199999999999</x:v>
      </x:c>
      <x:c r="I48" s="22" t="str">
        <x:f>HYPERLINK("https://etp-aktiv.ru/catalog/materialy/ehlektroizolyacionnye-materialy/2000548667-Y115/","Открыть позицию")</x:f>
        <x:v>Открыть позицию</x:v>
      </x:c>
    </x:row>
    <x:row r="49" ht="28" customHeight="1">
      <x:c r="A49" s="16" t="str">
        <x:v>Барабинская ТЭЦ</x:v>
      </x:c>
      <x:c r="B49" s="16" t="str">
        <x:v>2000548725-Y115</x:v>
      </x:c>
      <x:c r="C49" s="16" t="str">
        <x:v>ТРУБКА ТЛВ 2ММ</x:v>
      </x:c>
      <x:c r="D49" s="16" t="str">
        <x:v>Электроизоляционные материалы</x:v>
      </x:c>
      <x:c r="E49" s="16" t="str">
        <x:v>М</x:v>
      </x:c>
      <x:c r="F49" s="21" t="n">
        <x:v>20</x:v>
      </x:c>
      <x:c r="G49" s="17" t="n">
        <x:v>3.477</x:v>
      </x:c>
      <x:c r="H49" s="17" t="n">
        <x:f>G49*F49</x:f>
        <x:v>69.53999999999999</x:v>
      </x:c>
      <x:c r="I49" s="22" t="str">
        <x:f>HYPERLINK("https://etp-aktiv.ru/catalog/materialy/ehlektroizolyacionnye-materialy/2000548725-Y115/","Открыть позицию")</x:f>
        <x:v>Открыть позицию</x:v>
      </x:c>
    </x:row>
    <x:row r="50" ht="28" customHeight="1">
      <x:c r="A50" s="16" t="str">
        <x:v>Барабинская ТЭЦ</x:v>
      </x:c>
      <x:c r="B50" s="16" t="str">
        <x:v>2000043392-Y115</x:v>
      </x:c>
      <x:c r="C50" s="16" t="str">
        <x:v>ТРУБКА ТЛВ 3ММ</x:v>
      </x:c>
      <x:c r="D50" s="16" t="str">
        <x:v>Электроизоляционные материалы</x:v>
      </x:c>
      <x:c r="E50" s="16" t="str">
        <x:v>М</x:v>
      </x:c>
      <x:c r="F50" s="21" t="n">
        <x:v>20</x:v>
      </x:c>
      <x:c r="G50" s="17" t="n">
        <x:v>3.5746</x:v>
      </x:c>
      <x:c r="H50" s="17" t="n">
        <x:f>G50*F50</x:f>
        <x:v>71.492</x:v>
      </x:c>
      <x:c r="I50" s="22" t="str">
        <x:f>HYPERLINK("https://etp-aktiv.ru/catalog/materialy/ehlektroizolyacionnye-materialy/2000043392-Y115/","Открыть позицию")</x:f>
        <x:v>Открыть позицию</x:v>
      </x:c>
    </x:row>
    <x:row r="51" ht="28" customHeight="1">
      <x:c r="A51" s="16" t="str">
        <x:v>Барабинская ТЭЦ</x:v>
      </x:c>
      <x:c r="B51" s="16" t="str">
        <x:v>2000043394-Y115</x:v>
      </x:c>
      <x:c r="C51" s="16" t="str">
        <x:v>ТРУБКА ТЛВ 5,0ММ ГОСТ9614-61</x:v>
      </x:c>
      <x:c r="D51" s="16" t="str">
        <x:v>Электроизоляционные материалы</x:v>
      </x:c>
      <x:c r="E51" s="16" t="str">
        <x:v>М</x:v>
      </x:c>
      <x:c r="F51" s="21" t="n">
        <x:v>30</x:v>
      </x:c>
      <x:c r="G51" s="17" t="n">
        <x:v>4.0626</x:v>
      </x:c>
      <x:c r="H51" s="17" t="n">
        <x:f>G51*F51</x:f>
        <x:v>121.87799999999999</x:v>
      </x:c>
      <x:c r="I51" s="22" t="str">
        <x:f>HYPERLINK("https://etp-aktiv.ru/catalog/materialy/ehlektroizolyacionnye-materialy/2000043394-Y115/","Открыть позицию")</x:f>
        <x:v>Открыть позицию</x:v>
      </x:c>
    </x:row>
    <x:row r="52" ht="28" customHeight="1">
      <x:c r="A52" s="16" t="str">
        <x:v>Барабинская ТЭЦ</x:v>
      </x:c>
      <x:c r="B52" s="16" t="str">
        <x:v>2000043395-Y115</x:v>
      </x:c>
      <x:c r="C52" s="16" t="str">
        <x:v>ТРУБКА ТЛВ 6ММ ГОСТ9614-61</x:v>
      </x:c>
      <x:c r="D52" s="16" t="str">
        <x:v>Электроизоляционные материалы</x:v>
      </x:c>
      <x:c r="E52" s="16" t="str">
        <x:v>М</x:v>
      </x:c>
      <x:c r="F52" s="21" t="n">
        <x:v>30</x:v>
      </x:c>
      <x:c r="G52" s="17" t="n">
        <x:v>4.1846000000000005</x:v>
      </x:c>
      <x:c r="H52" s="17" t="n">
        <x:f>G52*F52</x:f>
        <x:v>125.53800000000001</x:v>
      </x:c>
      <x:c r="I52" s="22" t="str">
        <x:f>HYPERLINK("https://etp-aktiv.ru/catalog/materialy/ehlektroizolyacionnye-materialy/2000043395-Y115/","Открыть позицию")</x:f>
        <x:v>Открыть позицию</x:v>
      </x:c>
    </x:row>
    <x:row r="53" ht="28" customHeight="1">
      <x:c r="A53" s="16" t="str">
        <x:v>Барабинская ТЭЦ</x:v>
      </x:c>
      <x:c r="B53" s="16" t="str">
        <x:v>2000069004-Y115</x:v>
      </x:c>
      <x:c r="C53" s="16" t="str">
        <x:v>ТРУБКА ТЛВ 7ММ ГОСТ9614-61</x:v>
      </x:c>
      <x:c r="D53" s="16" t="str">
        <x:v>Электроизоляционные материалы</x:v>
      </x:c>
      <x:c r="E53" s="16" t="str">
        <x:v>М</x:v>
      </x:c>
      <x:c r="F53" s="21" t="n">
        <x:v>30</x:v>
      </x:c>
      <x:c r="G53" s="17" t="n">
        <x:v>4.0626</x:v>
      </x:c>
      <x:c r="H53" s="17" t="n">
        <x:f>G53*F53</x:f>
        <x:v>121.87799999999999</x:v>
      </x:c>
      <x:c r="I53" s="22" t="str">
        <x:f>HYPERLINK("https://etp-aktiv.ru/catalog/materialy/ehlektroizolyacionnye-materialy/2000069004-Y115/","Открыть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b1ecdf6d23647d1"/>
  </x:tableParts>
</x:worksheet>
</file>

<file path=xl/worksheets/sheet19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Изоляция и уплотнения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2000316280-Y115</x:v>
      </x:c>
      <x:c r="C5" s="16" t="str">
        <x:v>НАБИВКА ГРАФЛЕКС Н-1100 15*15ММ</x:v>
      </x:c>
      <x:c r="D5" s="16" t="str">
        <x:v>Асбо-технические изделия</x:v>
      </x:c>
      <x:c r="E5" s="16" t="str">
        <x:v>КГ</x:v>
      </x:c>
      <x:c r="F5" s="30" t="n">
        <x:v>8.3</x:v>
      </x:c>
      <x:c r="G5" s="17" t="n">
        <x:v>146.8758</x:v>
      </x:c>
      <x:c r="H5" s="17" t="n">
        <x:f>G5*F5</x:f>
        <x:v>1219.06914</x:v>
      </x:c>
      <x:c r="I5" s="22" t="str">
        <x:f>HYPERLINK("https://etp-aktiv.ru/catalog/materialy/asbo-tekhnicheskie-izdeliya/2000316280-Y115/","Открыть позицию")</x:f>
        <x:v>Открыть позицию</x:v>
      </x:c>
    </x:row>
    <x:row r="6" ht="28" customHeight="1">
      <x:c r="A6" s="16" t="str">
        <x:v>Барабинская ТЭЦ</x:v>
      </x:c>
      <x:c r="B6" s="16" t="str">
        <x:v>2000546990-Y115</x:v>
      </x:c>
      <x:c r="C6" s="16" t="str">
        <x:v>ТЕХПЛАСТИНА 10ММ 2Н-I-ТМКЩ-С ГОСТ7338-90</x:v>
      </x:c>
      <x:c r="D6" s="16" t="str">
        <x:v>Резино-технические изделия прочие</x:v>
      </x:c>
      <x:c r="E6" s="16" t="str">
        <x:v>КГ</x:v>
      </x:c>
      <x:c r="F6" s="30" t="n">
        <x:v>10.9</x:v>
      </x:c>
      <x:c r="G6" s="17" t="n">
        <x:v>9.516</x:v>
      </x:c>
      <x:c r="H6" s="17" t="n">
        <x:f>G6*F6</x:f>
        <x:v>103.7244</x:v>
      </x:c>
      <x:c r="I6" s="22" t="str">
        <x:f>HYPERLINK("https://etp-aktiv.ru/catalog/materialy/rezino-tekhnicheskie-izdeliya/2000546990-Y115/","Открыть позицию")</x:f>
        <x:v>Открыть позицию</x:v>
      </x:c>
    </x:row>
    <x:row r="7" ht="28" customHeight="1">
      <x:c r="A7" s="16" t="str">
        <x:v>Барабинская ТЭЦ</x:v>
      </x:c>
      <x:c r="B7" s="16" t="str">
        <x:v>2000141949-Y115</x:v>
      </x:c>
      <x:c r="C7" s="16" t="str">
        <x:v>ТЕХПЛАСТИНА 10ММ ТКМЩ ГОСТ7338-90</x:v>
      </x:c>
      <x:c r="D7" s="16" t="str">
        <x:v>Резино-технические изделия прочие</x:v>
      </x:c>
      <x:c r="E7" s="16" t="str">
        <x:v>КГ</x:v>
      </x:c>
      <x:c r="F7" s="30" t="n">
        <x:v>9.25</x:v>
      </x:c>
      <x:c r="G7" s="17" t="n">
        <x:v>29.938799999999997</x:v>
      </x:c>
      <x:c r="H7" s="17" t="n">
        <x:f>G7*F7</x:f>
        <x:v>276.9339</x:v>
      </x:c>
      <x:c r="I7" s="22" t="str">
        <x:f>HYPERLINK("https://etp-aktiv.ru/catalog/materialy/rezino-tekhnicheskie-izdeliya/2000141949-Y115/","Открыть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7191ccfe9c3d4131"/>
  </x:tableParts>
</x:worksheet>
</file>

<file path=xl/worksheets/sheet20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МРО, метизы и инструмент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Барабинская ТЭЦ</x:v>
      </x:c>
      <x:c r="B5" s="16" t="str">
        <x:v>2000169882-Y115</x:v>
      </x:c>
      <x:c r="C5" s="16" t="str">
        <x:v>БОЛТ М10*80 ГОСТ7798-70</x:v>
      </x:c>
      <x:c r="D5" s="16" t="str">
        <x:v>Метизы</x:v>
      </x:c>
      <x:c r="E5" s="16" t="str">
        <x:v>КГ</x:v>
      </x:c>
      <x:c r="F5" s="30" t="n">
        <x:v>2.198</x:v>
      </x:c>
      <x:c r="G5" s="17" t="n">
        <x:v>147.9982</x:v>
      </x:c>
      <x:c r="H5" s="17" t="n">
        <x:f>G5*F5</x:f>
        <x:v>325.3000436</x:v>
      </x:c>
      <x:c r="I5" s="22" t="str">
        <x:f>HYPERLINK("https://etp-aktiv.ru/catalog/materialy/metizy/2000169882-Y115/","Открыть позицию")</x:f>
        <x:v>Открыть позицию</x:v>
      </x:c>
    </x:row>
    <x:row r="6" ht="28" customHeight="1">
      <x:c r="A6" s="16" t="str">
        <x:v>Барабинская ТЭЦ</x:v>
      </x:c>
      <x:c r="B6" s="16" t="str">
        <x:v>2000375856-Y115</x:v>
      </x:c>
      <x:c r="C6" s="16" t="str">
        <x:v>БОЛТ М10-6G*45.58 S17 ГОСТ7798-70</x:v>
      </x:c>
      <x:c r="D6" s="16" t="str">
        <x:v>Метизы</x:v>
      </x:c>
      <x:c r="E6" s="16" t="str">
        <x:v>КГ</x:v>
      </x:c>
      <x:c r="F6" s="29" t="n">
        <x:v>0.892</x:v>
      </x:c>
      <x:c r="G6" s="17" t="n">
        <x:v>231.6414</x:v>
      </x:c>
      <x:c r="H6" s="17" t="n">
        <x:f>G6*F6</x:f>
        <x:v>206.6241288</x:v>
      </x:c>
      <x:c r="I6" s="22" t="str">
        <x:f>HYPERLINK("https://etp-aktiv.ru/catalog/materialy/metizy/2000375856-Y115/","Открыть позицию")</x:f>
        <x:v>Открыть позицию</x:v>
      </x:c>
    </x:row>
    <x:row r="7" ht="28" customHeight="1">
      <x:c r="A7" s="16" t="str">
        <x:v>Барабинская ТЭЦ</x:v>
      </x:c>
      <x:c r="B7" s="16" t="str">
        <x:v>2000529957-Y115</x:v>
      </x:c>
      <x:c r="C7" s="16" t="str">
        <x:v>БОЛТ М12*25 ГОСТ7798-70</x:v>
      </x:c>
      <x:c r="D7" s="16" t="str">
        <x:v>Метизы специализированные и под заказ</x:v>
      </x:c>
      <x:c r="E7" s="16" t="str">
        <x:v>КГ</x:v>
      </x:c>
      <x:c r="F7" s="29" t="n">
        <x:v>0.24</x:v>
      </x:c>
      <x:c r="G7" s="17" t="n">
        <x:v>226.9444</x:v>
      </x:c>
      <x:c r="H7" s="17" t="n">
        <x:f>G7*F7</x:f>
        <x:v>54.466656</x:v>
      </x:c>
      <x:c r="I7" s="22" t="str">
        <x:f>HYPERLINK("https://etp-aktiv.ru/catalog/materialy/metizy/2000529957-Y115/","Открыть позицию")</x:f>
        <x:v>Открыть позицию</x:v>
      </x:c>
    </x:row>
    <x:row r="8" ht="28" customHeight="1">
      <x:c r="A8" s="16" t="str">
        <x:v>Барабинская ТЭЦ</x:v>
      </x:c>
      <x:c r="B8" s="16" t="str">
        <x:v>2000142321-Y115</x:v>
      </x:c>
      <x:c r="C8" s="16" t="str">
        <x:v>БОЛТ М27*100 ГОСТ7798-70</x:v>
      </x:c>
      <x:c r="D8" s="16" t="str">
        <x:v>Метизы</x:v>
      </x:c>
      <x:c r="E8" s="16" t="str">
        <x:v>КГ</x:v>
      </x:c>
      <x:c r="F8" s="29" t="n">
        <x:v>0.9</x:v>
      </x:c>
      <x:c r="G8" s="17" t="n">
        <x:v>18.3</x:v>
      </x:c>
      <x:c r="H8" s="17" t="n">
        <x:f>G8*F8</x:f>
        <x:v>16.470000000000002</x:v>
      </x:c>
      <x:c r="I8" s="22" t="str">
        <x:f>HYPERLINK("https://etp-aktiv.ru/catalog/materialy/metizy/2000142321-Y115/","Открыть позицию")</x:f>
        <x:v>Открыть позицию</x:v>
      </x:c>
    </x:row>
    <x:row r="9" ht="28" customHeight="1">
      <x:c r="A9" s="16" t="str">
        <x:v>Барабинская ТЭЦ</x:v>
      </x:c>
      <x:c r="B9" s="16" t="str">
        <x:v>2000142930-Y115</x:v>
      </x:c>
      <x:c r="C9" s="16" t="str">
        <x:v>БОЛТ М6*60 ГОСТ7798-70</x:v>
      </x:c>
      <x:c r="D9" s="16" t="str">
        <x:v>Метизы</x:v>
      </x:c>
      <x:c r="E9" s="16" t="str">
        <x:v>КГ</x:v>
      </x:c>
      <x:c r="F9" s="30" t="n">
        <x:v>1.6</x:v>
      </x:c>
      <x:c r="G9" s="17" t="n">
        <x:v>18.3</x:v>
      </x:c>
      <x:c r="H9" s="17" t="n">
        <x:f>G9*F9</x:f>
        <x:v>29.28</x:v>
      </x:c>
      <x:c r="I9" s="22" t="str">
        <x:f>HYPERLINK("https://etp-aktiv.ru/catalog/materialy/metizy/2000142930-Y115/","Открыть позицию")</x:f>
        <x:v>Открыть позицию</x:v>
      </x:c>
    </x:row>
    <x:row r="10" ht="28" customHeight="1">
      <x:c r="A10" s="16" t="str">
        <x:v>Барабинская ТЭЦ</x:v>
      </x:c>
      <x:c r="B10" s="16" t="str">
        <x:v>2000142931-Y115</x:v>
      </x:c>
      <x:c r="C10" s="16" t="str">
        <x:v>БОЛТ М8*35 ГОСТ7798-70</x:v>
      </x:c>
      <x:c r="D10" s="16" t="str">
        <x:v>Метизы</x:v>
      </x:c>
      <x:c r="E10" s="16" t="str">
        <x:v>КГ</x:v>
      </x:c>
      <x:c r="F10" s="30" t="n">
        <x:v>6.099</x:v>
      </x:c>
      <x:c r="G10" s="17" t="n">
        <x:v>18.3</x:v>
      </x:c>
      <x:c r="H10" s="17" t="n">
        <x:f>G10*F10</x:f>
        <x:v>111.61170000000001</x:v>
      </x:c>
      <x:c r="I10" s="22" t="str">
        <x:f>HYPERLINK("https://etp-aktiv.ru/catalog/materialy/metizy/2000142931-Y115/","Открыть позицию")</x:f>
        <x:v>Открыть позицию</x:v>
      </x:c>
    </x:row>
    <x:row r="11" ht="28" customHeight="1">
      <x:c r="A11" s="16" t="str">
        <x:v>Барабинская ТЭЦ</x:v>
      </x:c>
      <x:c r="B11" s="16" t="str">
        <x:v>2000530004-Y115</x:v>
      </x:c>
      <x:c r="C11" s="16" t="str">
        <x:v>БОЛТ М8-6G*70.58 СТ20 ГОСТ7798-70</x:v>
      </x:c>
      <x:c r="D11" s="16" t="str">
        <x:v>Метизы</x:v>
      </x:c>
      <x:c r="E11" s="16" t="str">
        <x:v>КГ</x:v>
      </x:c>
      <x:c r="F11" s="30" t="n">
        <x:v>3.38</x:v>
      </x:c>
      <x:c r="G11" s="17" t="n">
        <x:v>18.3</x:v>
      </x:c>
      <x:c r="H11" s="17" t="n">
        <x:f>G11*F11</x:f>
        <x:v>61.854</x:v>
      </x:c>
      <x:c r="I11" s="22" t="str">
        <x:f>HYPERLINK("https://etp-aktiv.ru/catalog/materialy/metizy/2000530004-Y115/","Открыть позицию")</x:f>
        <x:v>Открыть позицию</x:v>
      </x:c>
    </x:row>
    <x:row r="12" ht="28" customHeight="1">
      <x:c r="A12" s="16" t="str">
        <x:v>Барабинская ТЭЦ</x:v>
      </x:c>
      <x:c r="B12" s="16" t="str">
        <x:v>2000530097-Y115</x:v>
      </x:c>
      <x:c r="C12" s="16" t="str">
        <x:v>ГВОЗДЬ П 2*40 ГОСТ4028-63</x:v>
      </x:c>
      <x:c r="D12" s="16" t="str">
        <x:v>Метизы</x:v>
      </x:c>
      <x:c r="E12" s="16" t="str">
        <x:v>КГ</x:v>
      </x:c>
      <x:c r="F12" s="30" t="n">
        <x:v>16.41</x:v>
      </x:c>
      <x:c r="G12" s="17" t="n">
        <x:v>18.3</x:v>
      </x:c>
      <x:c r="H12" s="17" t="n">
        <x:f>G12*F12</x:f>
        <x:v>300.303</x:v>
      </x:c>
      <x:c r="I12" s="22" t="str">
        <x:f>HYPERLINK("https://etp-aktiv.ru/catalog/materialy/metizy/2000530097-Y115/","Открыть позицию")</x:f>
        <x:v>Открыть позицию</x:v>
      </x:c>
    </x:row>
    <x:row r="13" ht="28" customHeight="1">
      <x:c r="A13" s="16" t="str">
        <x:v>Барабинская ТЭЦ</x:v>
      </x:c>
      <x:c r="B13" s="16" t="str">
        <x:v>2000530098-Y115</x:v>
      </x:c>
      <x:c r="C13" s="16" t="str">
        <x:v>ГВОЗДЬ П 2,5*32 ГОСТ4028-63</x:v>
      </x:c>
      <x:c r="D13" s="16" t="str">
        <x:v>Метизы</x:v>
      </x:c>
      <x:c r="E13" s="16" t="str">
        <x:v>КГ</x:v>
      </x:c>
      <x:c r="F13" s="30" t="n">
        <x:v>7.7</x:v>
      </x:c>
      <x:c r="G13" s="17" t="n">
        <x:v>18.3</x:v>
      </x:c>
      <x:c r="H13" s="17" t="n">
        <x:f>G13*F13</x:f>
        <x:v>140.91</x:v>
      </x:c>
      <x:c r="I13" s="22" t="str">
        <x:f>HYPERLINK("https://etp-aktiv.ru/catalog/materialy/metizy/2000530098-Y115/","Открыть позицию")</x:f>
        <x:v>Открыть позицию</x:v>
      </x:c>
    </x:row>
    <x:row r="14" ht="28" customHeight="1">
      <x:c r="A14" s="16" t="str">
        <x:v>Барабинская ТЭЦ</x:v>
      </x:c>
      <x:c r="B14" s="16" t="str">
        <x:v>2000116342-Y115</x:v>
      </x:c>
      <x:c r="C14" s="16" t="str">
        <x:v>ПОДШИПНИК 180207</x:v>
      </x:c>
      <x:c r="D14" s="16" t="str">
        <x:v>Подшипники</x:v>
      </x:c>
      <x:c r="E14" s="16" t="str">
        <x:v>ШТ</x:v>
      </x:c>
      <x:c r="F14" s="21" t="n">
        <x:v>1</x:v>
      </x:c>
      <x:c r="G14" s="17" t="n">
        <x:v>38.064</x:v>
      </x:c>
      <x:c r="H14" s="17" t="n">
        <x:f>G14*F14</x:f>
        <x:v>38.064</x:v>
      </x:c>
      <x:c r="I14" s="22" t="str">
        <x:f>HYPERLINK("https://etp-aktiv.ru/catalog/materialy/podshipniki/2000116342-Y115/","Открыть позицию")</x:f>
        <x:v>Открыть позицию</x:v>
      </x:c>
    </x:row>
    <x:row r="15" ht="28" customHeight="1">
      <x:c r="A15" s="16" t="str">
        <x:v>Барабинская ТЭЦ</x:v>
      </x:c>
      <x:c r="B15" s="16" t="str">
        <x:v>2000001043-Y115</x:v>
      </x:c>
      <x:c r="C15" s="16" t="str">
        <x:v>ПОДШИПНИК 180302</x:v>
      </x:c>
      <x:c r="D15" s="16" t="str">
        <x:v>Подшипники</x:v>
      </x:c>
      <x:c r="E15" s="16" t="str">
        <x:v>ШТ</x:v>
      </x:c>
      <x:c r="F15" s="21" t="n">
        <x:v>1</x:v>
      </x:c>
      <x:c r="G15" s="17" t="n">
        <x:v>47.58</x:v>
      </x:c>
      <x:c r="H15" s="17" t="n">
        <x:f>G15*F15</x:f>
        <x:v>47.58</x:v>
      </x:c>
      <x:c r="I15" s="22" t="str">
        <x:f>HYPERLINK("https://etp-aktiv.ru/catalog/materialy/podshipniki/2000001043-Y115/","Открыть позицию")</x:f>
        <x:v>Открыть позицию</x:v>
      </x:c>
    </x:row>
    <x:row r="16" ht="28" customHeight="1">
      <x:c r="A16" s="16" t="str">
        <x:v>Барабинская ТЭЦ</x:v>
      </x:c>
      <x:c r="B16" s="16" t="str">
        <x:v>2000119857-Y115</x:v>
      </x:c>
      <x:c r="C16" s="16" t="str">
        <x:v>ПОДШИПНИК 180303</x:v>
      </x:c>
      <x:c r="D16" s="16" t="str">
        <x:v>Подшипники</x:v>
      </x:c>
      <x:c r="E16" s="16" t="str">
        <x:v>ШТ</x:v>
      </x:c>
      <x:c r="F16" s="21" t="n">
        <x:v>1</x:v>
      </x:c>
      <x:c r="G16" s="17" t="n">
        <x:v>109.9952</x:v>
      </x:c>
      <x:c r="H16" s="17" t="n">
        <x:f>G16*F16</x:f>
        <x:v>109.9952</x:v>
      </x:c>
      <x:c r="I16" s="22" t="str">
        <x:f>HYPERLINK("https://etp-aktiv.ru/catalog/materialy/podshipniki/2000119857-Y115/","Открыть позицию")</x:f>
        <x:v>Открыть позицию</x:v>
      </x:c>
    </x:row>
    <x:row r="17" ht="28" customHeight="1">
      <x:c r="A17" s="16" t="str">
        <x:v>Барабинская ТЭЦ</x:v>
      </x:c>
      <x:c r="B17" s="16" t="str">
        <x:v>2000116393-Y115</x:v>
      </x:c>
      <x:c r="C17" s="16" t="str">
        <x:v>ПОДШИПНИК 212</x:v>
      </x:c>
      <x:c r="D17" s="16" t="str">
        <x:v>Подшипники</x:v>
      </x:c>
      <x:c r="E17" s="16" t="str">
        <x:v>ШТ</x:v>
      </x:c>
      <x:c r="F17" s="21" t="n">
        <x:v>1</x:v>
      </x:c>
      <x:c r="G17" s="17" t="n">
        <x:v>38.064</x:v>
      </x:c>
      <x:c r="H17" s="17" t="n">
        <x:f>G17*F17</x:f>
        <x:v>38.064</x:v>
      </x:c>
      <x:c r="I17" s="22" t="str">
        <x:f>HYPERLINK("https://etp-aktiv.ru/catalog/materialy/podshipniki/2000116393-Y115/","Открыть позицию")</x:f>
        <x:v>Открыть позицию</x:v>
      </x:c>
    </x:row>
    <x:row r="18" ht="28" customHeight="1">
      <x:c r="A18" s="16" t="str">
        <x:v>Барабинская ТЭЦ</x:v>
      </x:c>
      <x:c r="B18" s="16" t="str">
        <x:v>2000116573-Y115</x:v>
      </x:c>
      <x:c r="C18" s="16" t="str">
        <x:v>ПОДШИПНИК 2315</x:v>
      </x:c>
      <x:c r="D18" s="16" t="str">
        <x:v>Подшипники</x:v>
      </x:c>
      <x:c r="E18" s="16" t="str">
        <x:v>ШТ</x:v>
      </x:c>
      <x:c r="F18" s="21" t="n">
        <x:v>3</x:v>
      </x:c>
      <x:c r="G18" s="17" t="n">
        <x:v>475.8</x:v>
      </x:c>
      <x:c r="H18" s="17" t="n">
        <x:f>G18*F18</x:f>
        <x:v>1427.4</x:v>
      </x:c>
      <x:c r="I18" s="22" t="str">
        <x:f>HYPERLINK("https://etp-aktiv.ru/catalog/materialy/podshipniki/2000116573-Y115/","Открыть позицию")</x:f>
        <x:v>Открыть позицию</x:v>
      </x:c>
    </x:row>
    <x:row r="19" ht="28" customHeight="1">
      <x:c r="A19" s="16" t="str">
        <x:v>Барабинская ТЭЦ</x:v>
      </x:c>
      <x:c r="B19" s="16" t="str">
        <x:v>2000116436-Y115</x:v>
      </x:c>
      <x:c r="C19" s="16" t="str">
        <x:v>ПОДШИПНИК 408</x:v>
      </x:c>
      <x:c r="D19" s="16" t="str">
        <x:v>Подшипники</x:v>
      </x:c>
      <x:c r="E19" s="16" t="str">
        <x:v>ШТ</x:v>
      </x:c>
      <x:c r="F19" s="21" t="n">
        <x:v>2</x:v>
      </x:c>
      <x:c r="G19" s="17" t="n">
        <x:v>66.612</x:v>
      </x:c>
      <x:c r="H19" s="17" t="n">
        <x:f>G19*F19</x:f>
        <x:v>133.224</x:v>
      </x:c>
      <x:c r="I19" s="22" t="str">
        <x:f>HYPERLINK("https://etp-aktiv.ru/catalog/materialy/podshipniki/2000116436-Y115/","Открыть позицию")</x:f>
        <x:v>Открыть позицию</x:v>
      </x:c>
    </x:row>
    <x:row r="20" ht="28" customHeight="1">
      <x:c r="A20" s="16" t="str">
        <x:v>Барабинская ТЭЦ</x:v>
      </x:c>
      <x:c r="B20" s="16" t="str">
        <x:v>2000116517-Y115</x:v>
      </x:c>
      <x:c r="C20" s="16" t="str">
        <x:v>ПОДШИПНИК 53608</x:v>
      </x:c>
      <x:c r="D20" s="16" t="str">
        <x:v>Подшипники</x:v>
      </x:c>
      <x:c r="E20" s="16" t="str">
        <x:v>ШТ</x:v>
      </x:c>
      <x:c r="F20" s="21" t="n">
        <x:v>1</x:v>
      </x:c>
      <x:c r="G20" s="17" t="n">
        <x:v>95.16</x:v>
      </x:c>
      <x:c r="H20" s="17" t="n">
        <x:f>G20*F20</x:f>
        <x:v>95.16</x:v>
      </x:c>
      <x:c r="I20" s="22" t="str">
        <x:f>HYPERLINK("https://etp-aktiv.ru/catalog/materialy/podshipniki/2000116517-Y115/","Открыть позицию")</x:f>
        <x:v>Открыть позицию</x:v>
      </x:c>
    </x:row>
    <x:row r="21" ht="28" customHeight="1">
      <x:c r="A21" s="16" t="str">
        <x:v>Барабинская ТЭЦ</x:v>
      </x:c>
      <x:c r="B21" s="16" t="str">
        <x:v>2000010262-Y115</x:v>
      </x:c>
      <x:c r="C21" s="16" t="str">
        <x:v>ПОДШИПНИК 53620</x:v>
      </x:c>
      <x:c r="D21" s="16" t="str">
        <x:v>Подшипники</x:v>
      </x:c>
      <x:c r="E21" s="16" t="str">
        <x:v>ШТ</x:v>
      </x:c>
      <x:c r="F21" s="21" t="n">
        <x:v>5</x:v>
      </x:c>
      <x:c r="G21" s="17" t="n">
        <x:v>3996.6101999999996</x:v>
      </x:c>
      <x:c r="H21" s="17" t="n">
        <x:f>G21*F21</x:f>
        <x:v>19983.051</x:v>
      </x:c>
      <x:c r="I21" s="22" t="str">
        <x:f>HYPERLINK("https://etp-aktiv.ru/catalog/materialy/podshipniki/2000010262-Y115/","Открыть позицию")</x:f>
        <x:v>Открыть позицию</x:v>
      </x:c>
    </x:row>
    <x:row r="22" ht="28" customHeight="1">
      <x:c r="A22" s="16" t="str">
        <x:v>Барабинская ТЭЦ</x:v>
      </x:c>
      <x:c r="B22" s="16" t="str">
        <x:v>2000220671-Y115</x:v>
      </x:c>
      <x:c r="C22" s="16" t="str">
        <x:v>ПОДШИПНИК 6-180309С17</x:v>
      </x:c>
      <x:c r="D22" s="16" t="str">
        <x:v>Подшипники</x:v>
      </x:c>
      <x:c r="E22" s="16" t="str">
        <x:v>ШТ</x:v>
      </x:c>
      <x:c r="F22" s="21" t="n">
        <x:v>4</x:v>
      </x:c>
      <x:c r="G22" s="17" t="n">
        <x:v>344.406</x:v>
      </x:c>
      <x:c r="H22" s="17" t="n">
        <x:f>G22*F22</x:f>
        <x:v>1377.624</x:v>
      </x:c>
      <x:c r="I22" s="22" t="str">
        <x:f>HYPERLINK("https://etp-aktiv.ru/catalog/materialy/podshipniki/2000220671-Y115/","Открыть позицию")</x:f>
        <x:v>Открыть позицию</x:v>
      </x:c>
    </x:row>
    <x:row r="23" ht="28" customHeight="1">
      <x:c r="A23" s="16" t="str">
        <x:v>Барабинская ТЭЦ</x:v>
      </x:c>
      <x:c r="B23" s="16" t="str">
        <x:v>2000135015-Y115</x:v>
      </x:c>
      <x:c r="C23" s="16" t="str">
        <x:v>ПОДШИПНИК 60315</x:v>
      </x:c>
      <x:c r="D23" s="16" t="str">
        <x:v>Подшипники</x:v>
      </x:c>
      <x:c r="E23" s="16" t="str">
        <x:v>ШТ</x:v>
      </x:c>
      <x:c r="F23" s="21" t="n">
        <x:v>1</x:v>
      </x:c>
      <x:c r="G23" s="17" t="n">
        <x:v>1130.5252</x:v>
      </x:c>
      <x:c r="H23" s="17" t="n">
        <x:f>G23*F23</x:f>
        <x:v>1130.5252</x:v>
      </x:c>
      <x:c r="I23" s="22" t="str">
        <x:f>HYPERLINK("https://etp-aktiv.ru/catalog/materialy/podshipniki/2000135015-Y115/","Открыть позицию")</x:f>
        <x:v>Открыть позицию</x:v>
      </x:c>
    </x:row>
    <x:row r="24" ht="28" customHeight="1">
      <x:c r="A24" s="16" t="str">
        <x:v>Барабинская ТЭЦ</x:v>
      </x:c>
      <x:c r="B24" s="16" t="str">
        <x:v>2000072686-Y115</x:v>
      </x:c>
      <x:c r="C24" s="16" t="str">
        <x:v>ПОДШИПНИК 6211</x:v>
      </x:c>
      <x:c r="D24" s="16" t="str">
        <x:v>Подшипники</x:v>
      </x:c>
      <x:c r="E24" s="16" t="str">
        <x:v>ШТ</x:v>
      </x:c>
      <x:c r="F24" s="21" t="n">
        <x:v>2</x:v>
      </x:c>
      <x:c r="G24" s="17" t="n">
        <x:v>57.096</x:v>
      </x:c>
      <x:c r="H24" s="17" t="n">
        <x:f>G24*F24</x:f>
        <x:v>114.192</x:v>
      </x:c>
      <x:c r="I24" s="22" t="str">
        <x:f>HYPERLINK("https://etp-aktiv.ru/catalog/materialy/podshipniki/2000072686-Y115/","Открыть позицию")</x:f>
        <x:v>Открыть позицию</x:v>
      </x:c>
    </x:row>
    <x:row r="25" ht="28" customHeight="1">
      <x:c r="A25" s="16" t="str">
        <x:v>Барабинская ТЭЦ</x:v>
      </x:c>
      <x:c r="B25" s="16" t="str">
        <x:v>2000116414-Y115</x:v>
      </x:c>
      <x:c r="C25" s="16" t="str">
        <x:v>ПОДШИПНИК 6306-22</x:v>
      </x:c>
      <x:c r="D25" s="16" t="str">
        <x:v>Подшипники</x:v>
      </x:c>
      <x:c r="E25" s="16" t="str">
        <x:v>ШТ</x:v>
      </x:c>
      <x:c r="F25" s="21" t="n">
        <x:v>3</x:v>
      </x:c>
      <x:c r="G25" s="17" t="n">
        <x:v>31.4028</x:v>
      </x:c>
      <x:c r="H25" s="17" t="n">
        <x:f>G25*F25</x:f>
        <x:v>94.2084</x:v>
      </x:c>
      <x:c r="I25" s="22" t="str">
        <x:f>HYPERLINK("https://etp-aktiv.ru/catalog/materialy/podshipniki/2000116414-Y115/","Открыть позицию")</x:f>
        <x:v>Открыть позицию</x:v>
      </x:c>
    </x:row>
    <x:row r="26" ht="28" customHeight="1">
      <x:c r="A26" s="16" t="str">
        <x:v>Барабинская ТЭЦ</x:v>
      </x:c>
      <x:c r="B26" s="16" t="str">
        <x:v>2000116368-Y115</x:v>
      </x:c>
      <x:c r="C26" s="16" t="str">
        <x:v>ПОДШИПНИК 6307</x:v>
      </x:c>
      <x:c r="D26" s="16" t="str">
        <x:v>Подшипники</x:v>
      </x:c>
      <x:c r="E26" s="16" t="str">
        <x:v>ШТ</x:v>
      </x:c>
      <x:c r="F26" s="21" t="n">
        <x:v>6</x:v>
      </x:c>
      <x:c r="G26" s="17" t="n">
        <x:v>153.5126</x:v>
      </x:c>
      <x:c r="H26" s="17" t="n">
        <x:f>G26*F26</x:f>
        <x:v>921.0755999999999</x:v>
      </x:c>
      <x:c r="I26" s="22" t="str">
        <x:f>HYPERLINK("https://etp-aktiv.ru/catalog/materialy/podshipniki/2000116368-Y115/","Открыть позицию")</x:f>
        <x:v>Открыть позицию</x:v>
      </x:c>
    </x:row>
    <x:row r="27" ht="28" customHeight="1">
      <x:c r="A27" s="16" t="str">
        <x:v>Барабинская ТЭЦ</x:v>
      </x:c>
      <x:c r="B27" s="16" t="str">
        <x:v>2000068528-Y115</x:v>
      </x:c>
      <x:c r="C27" s="16" t="str">
        <x:v>ШПЛИНТ 8*90 ГОСТ397-79</x:v>
      </x:c>
      <x:c r="D27" s="16" t="str">
        <x:v>Метизы специализированные и под заказ</x:v>
      </x:c>
      <x:c r="E27" s="16" t="str">
        <x:v>КГ</x:v>
      </x:c>
      <x:c r="F27" s="21" t="n">
        <x:v>3</x:v>
      </x:c>
      <x:c r="G27" s="17" t="n">
        <x:v>209.09579999999997</x:v>
      </x:c>
      <x:c r="H27" s="17" t="n">
        <x:f>G27*F27</x:f>
        <x:v>627.2873999999999</x:v>
      </x:c>
      <x:c r="I27" s="22" t="str">
        <x:f>HYPERLINK("https://etp-aktiv.ru/catalog/materialy/metizy/2000068528-Y115/","Открыть позицию")</x:f>
        <x:v>Открыть позицию</x:v>
      </x:c>
    </x:row>
    <x:row r="28" ht="28" customHeight="1">
      <x:c r="A28" s="16" t="str">
        <x:v>Барабинская ТЭЦ</x:v>
      </x:c>
      <x:c r="B28" s="16" t="str">
        <x:v>2000046497-Y115</x:v>
      </x:c>
      <x:c r="C28" s="16" t="str">
        <x:v>ШУРУП 3*25 ГОСТ1145-80</x:v>
      </x:c>
      <x:c r="D28" s="16" t="str">
        <x:v>Метизы</x:v>
      </x:c>
      <x:c r="E28" s="16" t="str">
        <x:v>Т</x:v>
      </x:c>
      <x:c r="F28" s="29" t="n">
        <x:v>0.004</x:v>
      </x:c>
      <x:c r="G28" s="17" t="n">
        <x:v>18300</x:v>
      </x:c>
      <x:c r="H28" s="17" t="n">
        <x:f>G28*F28</x:f>
        <x:v>73.2</x:v>
      </x:c>
      <x:c r="I28" s="22" t="str">
        <x:f>HYPERLINK("https://etp-aktiv.ru/catalog/materialy/metizy/2000046497-Y115/","Открыть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143e47a06e64120"/>
  </x:tableParts>
</x:worksheet>
</file>

<file path=xl/worksheets/sheet2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Новосибирск: Авто- и спецтехника: запасные части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Новосибирская ТЭЦ-2</x:v>
      </x:c>
      <x:c r="B5" s="16" t="str">
        <x:v>2000707735-Y111</x:v>
      </x:c>
      <x:c r="C5" s="16" t="str">
        <x:v>ВАЛ КАРДАННЫЙ ЗАДНЕГО МОСТА 4320-2201010</x:v>
      </x:c>
      <x:c r="D5" s="16" t="str">
        <x:v>Запасные части к автотранспортному оборудованию</x:v>
      </x:c>
      <x:c r="E5" s="16" t="str">
        <x:v>ШТ</x:v>
      </x:c>
      <x:c r="F5" s="21" t="n">
        <x:v>2</x:v>
      </x:c>
      <x:c r="G5" s="17" t="n">
        <x:v>10654.9066</x:v>
      </x:c>
      <x:c r="H5" s="17" t="n">
        <x:f>G5*F5</x:f>
        <x:v>21309.8132</x:v>
      </x:c>
      <x:c r="I5" s="22" t="str">
        <x:f>HYPERLINK("https://etp-aktiv.ru/catalog/materialy/zapasnye-chasti-k-avtotransportnomu-oborudovaniyu/2000707735-Y111/","Открыть позицию")</x:f>
        <x:v>Открыть позицию</x:v>
      </x:c>
    </x:row>
    <x:row r="6" ht="28" customHeight="1">
      <x:c r="A6" s="16" t="str">
        <x:v>Новосибирская ТЭЦ-2</x:v>
      </x:c>
      <x:c r="B6" s="16" t="str">
        <x:v>2000456592-Y111</x:v>
      </x:c>
      <x:c r="C6" s="16" t="str">
        <x:v>ТОЛКАТЕЛЬ 740.1007184-03</x:v>
      </x:c>
      <x:c r="D6" s="16" t="str">
        <x:v>Запасные части к автотранспортному оборудованию</x:v>
      </x:c>
      <x:c r="E6" s="16" t="str">
        <x:v>ШТ</x:v>
      </x:c>
      <x:c r="F6" s="21" t="n">
        <x:v>32</x:v>
      </x:c>
      <x:c r="G6" s="17" t="n">
        <x:v>693.997</x:v>
      </x:c>
      <x:c r="H6" s="17" t="n">
        <x:f>G6*F6</x:f>
        <x:v>22207.904</x:v>
      </x:c>
      <x:c r="I6" s="22" t="str">
        <x:f>HYPERLINK("https://etp-aktiv.ru/catalog/materialy/zapasnye-chasti-k-avtotransportnomu-oborudovaniyu/2000456592-Y111/","Открыть позицию")</x:f>
        <x:v>Открыть позицию</x:v>
      </x:c>
    </x:row>
    <x:row r="7" ht="28" customHeight="1">
      <x:c r="A7" s="16" t="str">
        <x:v>Новосибирская ТЭЦ-3</x:v>
      </x:c>
      <x:c r="B7" s="16" t="str">
        <x:v>2000467149-Y112</x:v>
      </x:c>
      <x:c r="C7" s="16" t="str">
        <x:v>БОЛТ М16*80 802273</x:v>
      </x:c>
      <x:c r="D7" s="16" t="str">
        <x:v>Запасные части к автотранспортному оборудованию</x:v>
      </x:c>
      <x:c r="E7" s="16" t="str">
        <x:v>ШТ</x:v>
      </x:c>
      <x:c r="F7" s="29" t="n">
        <x:v>0.6</x:v>
      </x:c>
      <x:c r="G7" s="17" t="n">
        <x:v>401.3068</x:v>
      </x:c>
      <x:c r="H7" s="17" t="n">
        <x:f>G7*F7</x:f>
        <x:v>240.78408</x:v>
      </x:c>
      <x:c r="I7" s="22" t="str">
        <x:f>HYPERLINK("https://etp-aktiv.ru/catalog/materialy/zapasnye-chasti-k-avtotransportnomu-oborudovaniyu/2000467149-Y112/","Открыть позицию")</x:f>
        <x:v>Открыть позицию</x:v>
      </x:c>
    </x:row>
    <x:row r="8" ht="28" customHeight="1">
      <x:c r="A8" s="16" t="str">
        <x:v>Новосибирская ТЭЦ-4</x:v>
      </x:c>
      <x:c r="B8" s="16" t="str">
        <x:v>2000319597-Y113</x:v>
      </x:c>
      <x:c r="C8" s="16" t="str">
        <x:v>ФИЛЬТР ВОЗДУШНЫЙ ФП207.1-03/02</x:v>
      </x:c>
      <x:c r="D8" s="16" t="str">
        <x:v>Фильтры для спецтехники и автотранспорта</x:v>
      </x:c>
      <x:c r="E8" s="16" t="str">
        <x:v>ШТ</x:v>
      </x:c>
      <x:c r="F8" s="21" t="n">
        <x:v>2</x:v>
      </x:c>
      <x:c r="G8" s="17" t="n">
        <x:v>2399.9962</x:v>
      </x:c>
      <x:c r="H8" s="17" t="n">
        <x:f>G8*F8</x:f>
        <x:v>4799.9924</x:v>
      </x:c>
      <x:c r="I8" s="22" t="str">
        <x:f>HYPERLINK("https://etp-aktiv.ru/catalog/materialy/zapasnye-chasti-k-avtotransportnomu-oborudovaniyu/2000319597-Y113/","Открыть позицию")</x:f>
        <x:v>Открыть позицию</x:v>
      </x:c>
    </x:row>
    <x:row r="9" ht="28" customHeight="1">
      <x:c r="A9" s="16" t="str">
        <x:v>Новосибирская ТЭЦ-5</x:v>
      </x:c>
      <x:c r="B9" s="16" t="str">
        <x:v>2000240227-Y114</x:v>
      </x:c>
      <x:c r="C9" s="16" t="str">
        <x:v>КОЛЬЦО С70 580670 ГОСТ13940-86</x:v>
      </x:c>
      <x:c r="D9" s="16" t="str">
        <x:v>Запасные части к карьерной технике Четра</x:v>
      </x:c>
      <x:c r="E9" s="16" t="str">
        <x:v>ШТ</x:v>
      </x:c>
      <x:c r="F9" s="21" t="n">
        <x:v>8</x:v>
      </x:c>
      <x:c r="G9" s="17" t="n">
        <x:v>15.25</x:v>
      </x:c>
      <x:c r="H9" s="17" t="n">
        <x:f>G9*F9</x:f>
        <x:v>122</x:v>
      </x:c>
      <x:c r="I9" s="22" t="str">
        <x:f>HYPERLINK("https://etp-aktiv.ru/catalog/materialy/zapasnye-chasti-k-dorozhno-stroitelnoj-tekhnike/2000240227-Y114/","Открыть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ff97936adce4e92"/>
  </x:tableParts>
</x:worksheet>
</file>